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tabRatio="585" activeTab="3"/>
  </bookViews>
  <sheets>
    <sheet name="ข้อมูลโครงการ" sheetId="1" r:id="rId1"/>
    <sheet name="ปร.4 " sheetId="2" r:id="rId2"/>
    <sheet name="ข้อกำหนดการใช้" sheetId="3" state="hidden" r:id="rId3"/>
    <sheet name="ปร.5 (ก)" sheetId="4" r:id="rId4"/>
    <sheet name="สูตรวัสดุมวลรวม" sheetId="5" r:id="rId5"/>
    <sheet name="คำแนะนำ" sheetId="6" state="hidden" r:id="rId6"/>
    <sheet name="F_อาคาร" sheetId="7" r:id="rId7"/>
    <sheet name="F_ทาง" sheetId="8" r:id="rId8"/>
    <sheet name="F_ชลประทาน" sheetId="9" r:id="rId9"/>
    <sheet name="F_สะพานและท่อเหลี่ยม" sheetId="10" r:id="rId10"/>
    <sheet name="รายการคำนวณเทียบค่างานต้นทุน" sheetId="11" r:id="rId11"/>
  </sheets>
  <externalReferences>
    <externalReference r:id="rId14"/>
  </externalReferences>
  <definedNames>
    <definedName name="_xlfn.BAHTTEXT" hidden="1">#NAME?</definedName>
    <definedName name="_xlnm.Print_Area" localSheetId="8">'F_ชลประทาน'!$D$9:$X$59</definedName>
    <definedName name="_xlnm.Print_Area" localSheetId="7">'F_ทาง'!$D$9:$X$54</definedName>
    <definedName name="_xlnm.Print_Area" localSheetId="9">'F_สะพานและท่อเหลี่ยม'!$D$9:$P$59</definedName>
    <definedName name="_xlnm.Print_Area" localSheetId="6">'F_อาคาร'!$D$9:$P$41</definedName>
    <definedName name="_xlnm.Print_Area" localSheetId="2">'ข้อกำหนดการใช้'!$A$1:$L$31</definedName>
    <definedName name="_xlnm.Print_Area" localSheetId="3">'ปร.5 (ก)'!$A$1:$V$36</definedName>
    <definedName name="_xlnm.Print_Area" localSheetId="10">'รายการคำนวณเทียบค่างานต้นทุน'!$A$1:$G$24</definedName>
    <definedName name="_xlnm.Print_Area" localSheetId="4">'สูตรวัสดุมวลรวม'!$A$1:$H$1303</definedName>
    <definedName name="_xlnm.Print_Titles" localSheetId="4">'สูตรวัสดุมวลรวม'!$2:$4</definedName>
  </definedNames>
  <calcPr fullCalcOnLoad="1"/>
</workbook>
</file>

<file path=xl/comments5.xml><?xml version="1.0" encoding="utf-8"?>
<comments xmlns="http://schemas.openxmlformats.org/spreadsheetml/2006/main">
  <authors>
    <author>thapanan</author>
  </authors>
  <commentList>
    <comment ref="D111" authorId="0">
      <text>
        <r>
          <rPr>
            <b/>
            <sz val="8"/>
            <rFont val="Tahoma"/>
            <family val="2"/>
          </rPr>
          <t>thapanan:</t>
        </r>
        <r>
          <rPr>
            <sz val="8"/>
            <rFont val="Tahoma"/>
            <family val="2"/>
          </rPr>
          <t xml:space="preserve">
1.00/0.15x.10x5%x.222</t>
        </r>
      </text>
    </comment>
    <comment ref="F123" authorId="0">
      <text>
        <r>
          <rPr>
            <b/>
            <sz val="8"/>
            <rFont val="Tahoma"/>
            <family val="2"/>
          </rPr>
          <t>thapanan:</t>
        </r>
        <r>
          <rPr>
            <sz val="8"/>
            <rFont val="Tahoma"/>
            <family val="2"/>
          </rPr>
          <t xml:space="preserve">
ราคาเฉลี่ย รง.+กทม.
(0.45+0.72)=0.58 บาท
</t>
        </r>
      </text>
    </comment>
    <comment ref="F229" authorId="0">
      <text>
        <r>
          <rPr>
            <b/>
            <sz val="8"/>
            <rFont val="Tahoma"/>
            <family val="2"/>
          </rPr>
          <t>thapanan:</t>
        </r>
        <r>
          <rPr>
            <sz val="8"/>
            <rFont val="Tahoma"/>
            <family val="2"/>
          </rPr>
          <t xml:space="preserve">
23 / 5 = 4.60 /ตร.ม.
</t>
        </r>
      </text>
    </comment>
  </commentList>
</comments>
</file>

<file path=xl/sharedStrings.xml><?xml version="1.0" encoding="utf-8"?>
<sst xmlns="http://schemas.openxmlformats.org/spreadsheetml/2006/main" count="4644" uniqueCount="878">
  <si>
    <t>ดอกเบี้ยเงินกู้</t>
  </si>
  <si>
    <t>Factor F</t>
  </si>
  <si>
    <t>%</t>
  </si>
  <si>
    <t>ค่าภาษีมูลค่าเพิ่ม (VAT)</t>
  </si>
  <si>
    <t>ค่างานต้นทุน</t>
  </si>
  <si>
    <t>บาท</t>
  </si>
  <si>
    <t>ค่างาน(ล้านบาท)</t>
  </si>
  <si>
    <t>ค่างานต่ำกว่า</t>
  </si>
  <si>
    <t>ค่างานสูงกว่า</t>
  </si>
  <si>
    <t>ตำแหน่งค่าต่ำ</t>
  </si>
  <si>
    <t>ตำแหน่งค่าสูง</t>
  </si>
  <si>
    <t>FactorF</t>
  </si>
  <si>
    <t>ค่าFactor F ที่ได้</t>
  </si>
  <si>
    <t>ค่าFactor F</t>
  </si>
  <si>
    <t>รวมในรูป
Factor</t>
  </si>
  <si>
    <t>ภาษีมูลค่าเพิ่ม
(VAT)</t>
  </si>
  <si>
    <t>ค่า
อำนวยการ</t>
  </si>
  <si>
    <t>ระยะเวลา
ก่อสร้าง</t>
  </si>
  <si>
    <t>ระยะเวลา
เบิกจ่ายเงิน</t>
  </si>
  <si>
    <t>เงิน
จ่ายล่วงหน้า</t>
  </si>
  <si>
    <t>เงิน
ประกันผลงาน</t>
  </si>
  <si>
    <t>ดอกเบี้ย
เงินกู้</t>
  </si>
  <si>
    <t>ค่า
ดอกเบี้ย</t>
  </si>
  <si>
    <t>ค่า
กำไร</t>
  </si>
  <si>
    <t>รวม
ค่าใช้จ่าย</t>
  </si>
  <si>
    <t>ตารางคำนวณหาค่า Factor F งานก่อสร้างอาคาร</t>
  </si>
  <si>
    <t xml:space="preserve">    เงินล่วงหน้าจ่าย</t>
  </si>
  <si>
    <t xml:space="preserve">    เงินประกันผลงานหัก</t>
  </si>
  <si>
    <t>ค่างานรวมค่า Factor F</t>
  </si>
  <si>
    <t>www.yotathai.net</t>
  </si>
  <si>
    <t>ค่าใช้จ่ายในการดำเนินงานก่อสร้าง (%)</t>
  </si>
  <si>
    <t>ค่า อก.ฝนชุก</t>
  </si>
  <si>
    <t>ค่าอก.เพิ่ม</t>
  </si>
  <si>
    <t>กระทบ
เดือน</t>
  </si>
  <si>
    <t>อัตรา
ดอกเบี้ยเพิ่ม</t>
  </si>
  <si>
    <t>ค่าความเสี่ยงโครงการเพิ่ม</t>
  </si>
  <si>
    <t>รวม</t>
  </si>
  <si>
    <t>Factor F
ฝนชุก
1</t>
  </si>
  <si>
    <t>Factor F
ฝนชุก
2</t>
  </si>
  <si>
    <t>จังหวัด</t>
  </si>
  <si>
    <t>ฝนชุก</t>
  </si>
  <si>
    <t>พื้นที่ฝนชุก</t>
  </si>
  <si>
    <t>จันทบุรี</t>
  </si>
  <si>
    <t>ชุมพร</t>
  </si>
  <si>
    <t>เชียงราย</t>
  </si>
  <si>
    <t>ตรัง</t>
  </si>
  <si>
    <t>ตราด</t>
  </si>
  <si>
    <t>นครพนม</t>
  </si>
  <si>
    <t>นครศรีธรรมราช</t>
  </si>
  <si>
    <t>นราธิวาส</t>
  </si>
  <si>
    <t>ปราจีนบุรี</t>
  </si>
  <si>
    <t>ปัตตานี</t>
  </si>
  <si>
    <t>พังงา</t>
  </si>
  <si>
    <t>พัทลุง</t>
  </si>
  <si>
    <t>ภูเก็ต</t>
  </si>
  <si>
    <t>ยะลา</t>
  </si>
  <si>
    <t>ระนอง</t>
  </si>
  <si>
    <t>สงขลา</t>
  </si>
  <si>
    <t>สตูล</t>
  </si>
  <si>
    <t>สุราษฎร์ธานี</t>
  </si>
  <si>
    <t>หนองคาย</t>
  </si>
  <si>
    <t>ปกติ</t>
  </si>
  <si>
    <t>อื่นๆ</t>
  </si>
  <si>
    <t>ลาว</t>
  </si>
  <si>
    <t>=IF($V$6=1,VLOOKUP(Y17,$B$16:$V$50,20,FALSE),IF($V$6=2,VLOOKUP(Y17,$B$16:$V$50,21,FALSE),VLOOKUP(Y17,$B$16:$V$50,13,FALSE)))</t>
  </si>
  <si>
    <t>=IF($V$6=1,VLOOKUP(Y20,$B$16:$V$50,20,FALSE),IF($V$6=2,VLOOKUP(Y20,$B$16:$V$50,21,FALSE),VLOOKUP(Y20,$B$16:$V$50,13,FALSE)))</t>
  </si>
  <si>
    <t>ตารางคำนวณหาค่า Factor F งานก่อสร้างทาง</t>
  </si>
  <si>
    <t>ค่างาน
(ทุน)
ล้านบาท</t>
  </si>
  <si>
    <t>ตารางคำนวณหาค่า Factor F งานก่อสร้างสะพานและท่อเหลี่ยม</t>
  </si>
  <si>
    <t>การจัดทำตารางคำนวณนี้ มีจุดประสงค์เพื่ออำนวยความสะดวกแก่ผู้ใช้งาน</t>
  </si>
  <si>
    <t xml:space="preserve">เรื่องเกณฑ์การคำนวณราคากลางงานก่อสร้างของราชการ ฉบับใหม่ </t>
  </si>
  <si>
    <t>โดยตารางการคำนวณ ค่า Factor F นี้ สามารถปรับเปลี่ยน เงื่อนไข ส่วนประกอบ</t>
  </si>
  <si>
    <t>ผู้จัดทำ สละเวลาจัดทำขึ้น เพื่อจุดมุ่งหมายในการสรรค์สร้าง และพัฒนาชาติเป็นสำคัญ</t>
  </si>
  <si>
    <t xml:space="preserve">จึงมุ่งหมายที่จะให้ มีการใช้งานอย่างแพร่หลาย  การนำไปแก้ไขเพื่อใช้งานและ </t>
  </si>
  <si>
    <t>อ่านก่อนใช้งาน</t>
  </si>
  <si>
    <t xml:space="preserve">การพัฒนาต่อยอด จึงสามารถกระทำได้ โดยทันที  ทั้งนี้ ได้ตั้งค่าการป้องกันแผ่นงาน </t>
  </si>
  <si>
    <t>ไว้เพื่อป้องกันการแก้ไข โดยไม่ตั้งใจ  รหัสผ่านเพื่อยกเลิกการป้องกันแผ่นงานคือ</t>
  </si>
  <si>
    <t>yotathai</t>
  </si>
  <si>
    <t>ครับ</t>
  </si>
  <si>
    <t>1. ทาง Email : yotathai@gmail.com</t>
  </si>
  <si>
    <t>2. ทาง MSN : mapisith@hotmail.com</t>
  </si>
  <si>
    <t>หากประสงค์จะติดต่อผู้จัดทำตารางคำนวณ  ติดต่อได้ดังนี้</t>
  </si>
  <si>
    <t>โทรศัพท์นอกเวลาราชการ ขอใด้โปรดหลีกเลี่ยง</t>
  </si>
  <si>
    <t>ของค่า Factor F ได้ตามข้อเท็จจริงของแต่ละโครงการ ตลอดถึงสถานที่ และห้วงเวลา</t>
  </si>
  <si>
    <t>สวัสดีครับ....</t>
  </si>
  <si>
    <t>ในการคำนวณหาค่า  Factor F ที่ถูกต้อง  ตามมติ ครม. เมื่อวันที่ 6 กุมภาพันธ์ 2550</t>
  </si>
  <si>
    <t>ตารางคำนวณค่า Factor F F2550 V.2.0 นี้เป็นเวอร์ชั่นที่ปรับปรุงจากรุ่น V.1.0 นะครับ</t>
  </si>
  <si>
    <t xml:space="preserve">เนื่องจาก กรมบัญชีกลางได้แจ้งเวียนอัตราดอกเบี้ยเงินกู้ ใหม่เปลี่ยนจาก 7% เป็น 6% </t>
  </si>
  <si>
    <t xml:space="preserve">ตามหนังสือด่วนที่สุดที่ กค 0421.5/ว 20 ลว. 13 มีนาคม 2552 </t>
  </si>
  <si>
    <t>เท่ากับ 6%  7% และ 8% เท่านั้นนะครับ หากดอกเบี้ย เงินกู้ ต่ำ หรือ สูงกว่านี้</t>
  </si>
  <si>
    <r>
      <t xml:space="preserve">ผมจะปรับปรุงและแจ้งให้เพื่อนๆ ทราบอีกครับ ในเว็บ </t>
    </r>
    <r>
      <rPr>
        <b/>
        <sz val="14"/>
        <color indexed="9"/>
        <rFont val="BrowalliaUPC"/>
        <family val="2"/>
      </rPr>
      <t>โยธาไทย</t>
    </r>
    <r>
      <rPr>
        <sz val="14"/>
        <color indexed="9"/>
        <rFont val="BrowalliaUPC"/>
        <family val="2"/>
      </rPr>
      <t xml:space="preserve"> นะครับ</t>
    </r>
  </si>
  <si>
    <t>ผมได้ทำการปรับปรุง เมื่อวันที่ 18 มีนาคม 2552</t>
  </si>
  <si>
    <t>โปรแกรมนี้ สามารถคำนวณ ค่า Factor F ที่ตัวแปรอัตราดอกเบี้ยเงินกู้</t>
  </si>
  <si>
    <t>นายอภิสิทธิ์  มากสุวรรณ (ช่างถึก)</t>
  </si>
  <si>
    <t>3. Web site : http://www.yotathai.net</t>
  </si>
  <si>
    <t>ตาราง Factor F งานก่อสร้างชลประทาน</t>
  </si>
  <si>
    <t>เนื่องจาก ค่างานต้นทุนอยู่ระหว่างช่วงของค่างานต้นทุนที่กำหนด</t>
  </si>
  <si>
    <t>=</t>
  </si>
  <si>
    <t>รายการคำนวณ</t>
  </si>
  <si>
    <r>
      <rPr>
        <sz val="11"/>
        <rFont val="BrowalliaUPC"/>
        <family val="2"/>
      </rPr>
      <t xml:space="preserve"> </t>
    </r>
    <r>
      <rPr>
        <sz val="11"/>
        <rFont val="Times New Roman"/>
        <family val="1"/>
      </rPr>
      <t>≤</t>
    </r>
    <r>
      <rPr>
        <sz val="14"/>
        <rFont val="BrowalliaUPC"/>
        <family val="2"/>
      </rPr>
      <t xml:space="preserve"> 5</t>
    </r>
  </si>
  <si>
    <t>&gt;1,000</t>
  </si>
  <si>
    <t>ภาษีมูลค่า เพิ่ม
(VAT)</t>
  </si>
  <si>
    <t>หมายถึง ค่างานต้นทุนที่ต้องการหาค่า Factor F</t>
  </si>
  <si>
    <t>ที่ค่างานต้นทุนที่ต้องการหาค่า Factor F (ค่างานต้นทุน A อยู่)</t>
  </si>
  <si>
    <t xml:space="preserve">B </t>
  </si>
  <si>
    <t xml:space="preserve">C </t>
  </si>
  <si>
    <t xml:space="preserve">D </t>
  </si>
  <si>
    <t xml:space="preserve">E </t>
  </si>
  <si>
    <t>ค่างานต้นทุนที่ต้องการหาค่า Factor F</t>
  </si>
  <si>
    <t xml:space="preserve">แทนค่าในสูตร </t>
  </si>
  <si>
    <t>สูตร  ค่า Factor F ของค่างานต้นทุน A = D-{(D-E)x(A-B)/(C-B)}</t>
  </si>
  <si>
    <t xml:space="preserve">  </t>
  </si>
  <si>
    <r>
      <t>หมายถึง ค่างานต้นทุน</t>
    </r>
    <r>
      <rPr>
        <b/>
        <sz val="14"/>
        <color indexed="12"/>
        <rFont val="Browallia New"/>
        <family val="2"/>
      </rPr>
      <t>ขั้นต่ำ</t>
    </r>
    <r>
      <rPr>
        <sz val="14"/>
        <color indexed="8"/>
        <rFont val="Browallia New"/>
        <family val="2"/>
      </rPr>
      <t>ของช่วงค่างานต้นทุน ที่ค่างานต้นทุน</t>
    </r>
  </si>
  <si>
    <r>
      <t>หมายถึง ค่างานต้นทุน</t>
    </r>
    <r>
      <rPr>
        <b/>
        <sz val="14"/>
        <color indexed="12"/>
        <rFont val="Browallia New"/>
        <family val="2"/>
      </rPr>
      <t>ขั้นสูง</t>
    </r>
    <r>
      <rPr>
        <sz val="14"/>
        <color indexed="8"/>
        <rFont val="Browallia New"/>
        <family val="2"/>
      </rPr>
      <t>ของช่วงค่างานต้นทุน ที่ค่างานต้นทุน</t>
    </r>
  </si>
  <si>
    <r>
      <t>หมายถึง ค่า Factor F ของค่างานต้นทุน</t>
    </r>
    <r>
      <rPr>
        <b/>
        <sz val="14"/>
        <color indexed="12"/>
        <rFont val="Browallia New"/>
        <family val="2"/>
      </rPr>
      <t>ขั้นต่ำ</t>
    </r>
    <r>
      <rPr>
        <sz val="14"/>
        <color indexed="8"/>
        <rFont val="Browallia New"/>
        <family val="2"/>
      </rPr>
      <t>ของช่วงค่างานต้นทุน</t>
    </r>
  </si>
  <si>
    <r>
      <t>หมายถึง ค่า Factor F ของค่างานต้นทุน</t>
    </r>
    <r>
      <rPr>
        <b/>
        <sz val="14"/>
        <color indexed="12"/>
        <rFont val="Browallia New"/>
        <family val="2"/>
      </rPr>
      <t>ขั้นสูง</t>
    </r>
    <r>
      <rPr>
        <sz val="14"/>
        <color indexed="8"/>
        <rFont val="Browallia New"/>
        <family val="2"/>
      </rPr>
      <t>ของช่วงค่างานต้นทุน</t>
    </r>
  </si>
  <si>
    <t>จะได้ Factor F ของค่างานต้นทุน A</t>
  </si>
  <si>
    <t>อาคาร</t>
  </si>
  <si>
    <t>ทาง</t>
  </si>
  <si>
    <t>ชลประทาน</t>
  </si>
  <si>
    <t>ตาราง Factor F งานก่อสร้างสะพานและท่อเหลี่ยม</t>
  </si>
  <si>
    <t>ตาราง Factor F งานก่อสร้างทาง</t>
  </si>
  <si>
    <t>ตาราง Factor F งานก่อสร้างอาคาร</t>
  </si>
  <si>
    <t xml:space="preserve">ข้อแนะนำ </t>
  </si>
  <si>
    <t>กรณีของค่างานต้นทุนอยู่ระหว่างช่วงของค่างานต้นทุนที่กำหนด ซึ่งตามหลักเกณฑ์การคำนวณ</t>
  </si>
  <si>
    <t>ราคากลางฯ กำหนดให้เทียบอัตราส่วนเพื่อหาค่า Factor F หรือใช้สูตรในการคำนวณหาค่า</t>
  </si>
  <si>
    <t>ผมจัดทำหน้านี้ไว้เพื่ออำนวยความสะดวกสำหรับตรวจสอบและแสดงวิธีการคำนวณ</t>
  </si>
  <si>
    <t>หน้านี้ครับ</t>
  </si>
  <si>
    <t>สะพานและท่อเหลี่ยม</t>
  </si>
  <si>
    <t>การปรับปรุง</t>
  </si>
  <si>
    <t>หาค่า Factor F ให้ช่วยทำการปรับปรุงตารางการคำนวณหาค่า Factor F นี้</t>
  </si>
  <si>
    <t>เพิ่มเติมรายละเอียดในหลายๆ ด้าน และที่สำคัญคือได้เพิ่ม ตาราง Factor F</t>
  </si>
  <si>
    <t>งานก่อสร้างชลประทานเพิ่มเติมเข้ามาด้วย จึงมีความจำเป็นอย่างยิ่ง ที่จะต้อง</t>
  </si>
  <si>
    <t>ปรับปรุงตารางคำนวณนี้ให้ทันสมัยตามด้วย ซึ่งมีรายละเอียดการปรับปรุง</t>
  </si>
  <si>
    <t>ดังนี้</t>
  </si>
  <si>
    <t>1.เพิ่มเติมตาราง Factor F งานก่อสร้างชลประทาน</t>
  </si>
  <si>
    <t>2.เพิ่มรายการคำนวณเทียบหาอัตราส่วนเพื่อหาค่า Factor F</t>
  </si>
  <si>
    <t>กรณีค่างานต้นทุนอยู่ระหว่างช่วงของค่างานต้นทุนที่กำหนด โดยแสดง</t>
  </si>
  <si>
    <t>3.ปรับปรุงตาราง Factor F ของค่างานทุกประเภทให้สวยงาม</t>
  </si>
  <si>
    <t>Factor F_2555</t>
  </si>
  <si>
    <t>ธราเทพ  ทองเบ้า</t>
  </si>
  <si>
    <t>ang_nobita@hotmail.com</t>
  </si>
  <si>
    <t>t.tharatep@gmail.com</t>
  </si>
  <si>
    <t>ปรับปรุงเมื่อ 25 เมษายน 2555</t>
  </si>
  <si>
    <r>
      <t xml:space="preserve"> </t>
    </r>
    <r>
      <rPr>
        <sz val="12"/>
        <rFont val="Calibri"/>
        <family val="2"/>
      </rPr>
      <t xml:space="preserve">≤    </t>
    </r>
    <r>
      <rPr>
        <sz val="14"/>
        <rFont val="Calibri"/>
        <family val="2"/>
      </rPr>
      <t xml:space="preserve"> </t>
    </r>
    <r>
      <rPr>
        <sz val="14"/>
        <rFont val="BrowalliaUPC"/>
        <family val="2"/>
      </rPr>
      <t>0.5</t>
    </r>
  </si>
  <si>
    <r>
      <t>&gt;</t>
    </r>
    <r>
      <rPr>
        <sz val="19.6"/>
        <rFont val="BrowalliaUPC"/>
        <family val="2"/>
      </rPr>
      <t xml:space="preserve">  </t>
    </r>
    <r>
      <rPr>
        <sz val="14"/>
        <rFont val="BrowalliaUPC"/>
        <family val="2"/>
      </rPr>
      <t xml:space="preserve"> 500</t>
    </r>
  </si>
  <si>
    <t>หมายเหตุ</t>
  </si>
  <si>
    <t>1.กรณีค่างานอยู่ระหว่างช่วงของค่างานต้นทุนที่กำหนด ให้เทียบอัตราส่วนเพื่อหาค่า Factor F หรือใช้สูตรคำนวณ</t>
  </si>
  <si>
    <r>
      <t>2.ถ้าเป็นงานเงินกู้หรือจากแหล่งอื่นซึ่งไม่ต้องชำระค่าภาษีมูลค่าเพิ่ม ให้ใช้ Factor F ในช่อง "</t>
    </r>
    <r>
      <rPr>
        <b/>
        <sz val="14"/>
        <rFont val="BrowalliaUPC"/>
        <family val="2"/>
      </rPr>
      <t>รวมในรูป Factor</t>
    </r>
    <r>
      <rPr>
        <sz val="14"/>
        <rFont val="BrowalliaUPC"/>
        <family val="2"/>
      </rPr>
      <t>"</t>
    </r>
  </si>
  <si>
    <t>ค่างาน(ทุน)
ล้านบาท</t>
  </si>
  <si>
    <r>
      <t xml:space="preserve"> </t>
    </r>
    <r>
      <rPr>
        <sz val="14"/>
        <rFont val="Calibri"/>
        <family val="2"/>
      </rPr>
      <t>≤</t>
    </r>
    <r>
      <rPr>
        <sz val="14"/>
        <rFont val="BrowalliaUPC"/>
        <family val="2"/>
      </rPr>
      <t xml:space="preserve">     5</t>
    </r>
  </si>
  <si>
    <r>
      <rPr>
        <sz val="14"/>
        <rFont val="BrowalliaUPC"/>
        <family val="2"/>
      </rPr>
      <t>&gt;</t>
    </r>
    <r>
      <rPr>
        <sz val="14"/>
        <rFont val="BrowalliaUPC"/>
        <family val="2"/>
      </rPr>
      <t xml:space="preserve">  500</t>
    </r>
  </si>
  <si>
    <r>
      <t xml:space="preserve">   </t>
    </r>
    <r>
      <rPr>
        <sz val="14"/>
        <rFont val="Calibri"/>
        <family val="2"/>
      </rPr>
      <t>≤</t>
    </r>
    <r>
      <rPr>
        <sz val="14"/>
        <rFont val="BrowalliaUPC"/>
        <family val="2"/>
      </rPr>
      <t xml:space="preserve">      5</t>
    </r>
  </si>
  <si>
    <r>
      <t xml:space="preserve"> </t>
    </r>
    <r>
      <rPr>
        <sz val="14"/>
        <rFont val="Calibri"/>
        <family val="2"/>
      </rPr>
      <t>≥</t>
    </r>
    <r>
      <rPr>
        <sz val="14"/>
        <rFont val="BrowalliaUPC"/>
        <family val="2"/>
      </rPr>
      <t xml:space="preserve">   200</t>
    </r>
  </si>
  <si>
    <t>5. ทางโทรศัพท์ 084-7508118  โทรได้เฉพาะวันและเวลาราชการ</t>
  </si>
  <si>
    <t>ทั้งนี้ สืบเนื่องมาจากมติ ครม. เมื่อวันที่ 13 มีนาคม  2555 เรื่องเกณฑ์การ</t>
  </si>
  <si>
    <t>คำนวณราคากลางงานก่อสร้างของทางราชการ ฉบับใหม่ ได้ปรับปรุงและ</t>
  </si>
  <si>
    <t>สูตร วิธีการคำนวณ ซึ่งสามารถพิมพ์เป็นเอกสาร ประกอบรายละเอียด</t>
  </si>
  <si>
    <t>การคำนวณราคากลางฯ ได้ด้วย</t>
  </si>
  <si>
    <t>ใช้งานสะดวกยิ่งขึ้น และสามารถพิมพ์เป็นเอกสาร ประกอบรายละเอียด</t>
  </si>
  <si>
    <t>การคำนวณราคากลางฯ ได้เช่นกัน</t>
  </si>
  <si>
    <t>ขอขอบคุณพี่อภิสิทธิ์ มากสุวรรณ(ช่างถึก) ผู้จัดทำตารางคำนวณนี้</t>
  </si>
  <si>
    <t>ขอขอบคุณโยธาไทยที่ให้การสนับสนุนการจัดทำในครั้งนี้ และที่สำคัญ</t>
  </si>
  <si>
    <t>http://www.facebook.com/yotathai.net</t>
  </si>
  <si>
    <t xml:space="preserve">ที่ให้โอกาสในการปรับปรุงและร่วมสร้างสรรค์สิ่งดีๆ เสมอมา </t>
  </si>
  <si>
    <t>ผมมีความยินดีเป็นอย่างยิ่งที่ได้รับการประสานจากผู้จัดทำตารางการคำนวณ</t>
  </si>
  <si>
    <t>เลือกประเภทงานที่ต้องการแสดงรายละเอียดการคำนวณ</t>
  </si>
  <si>
    <r>
      <t>Factor F ดังที่แสดงไว้</t>
    </r>
    <r>
      <rPr>
        <sz val="14"/>
        <color indexed="10"/>
        <rFont val="Browallia New"/>
        <family val="2"/>
      </rPr>
      <t xml:space="preserve"> </t>
    </r>
    <r>
      <rPr>
        <u val="single"/>
        <sz val="14"/>
        <rFont val="Browallia New"/>
        <family val="2"/>
      </rPr>
      <t xml:space="preserve">ส่วนค่าของ Factor F ที่ตรงตามค่างานต้นทุนที่กำหนดไว้แล้ว </t>
    </r>
    <r>
      <rPr>
        <u val="single"/>
        <sz val="14"/>
        <color indexed="10"/>
        <rFont val="Browallia New"/>
        <family val="2"/>
      </rPr>
      <t>ไม่ต้องใช้</t>
    </r>
  </si>
  <si>
    <t xml:space="preserve"> โดย ค่างานต้นทุน A </t>
  </si>
  <si>
    <t>ที่ต้องการหาค่า Factor F (ค่างานต้นทุน A) อยู่</t>
  </si>
  <si>
    <t>ค่างานต้นทุนตัวต่ำกว่า A</t>
  </si>
  <si>
    <t>ค่างานต้นทุนตัวสูงกว่า A</t>
  </si>
  <si>
    <t>บาท…A</t>
  </si>
  <si>
    <t>บาท…B</t>
  </si>
  <si>
    <t>บาท…C</t>
  </si>
  <si>
    <t>…D</t>
  </si>
  <si>
    <t>…E</t>
  </si>
  <si>
    <t>Factor F ของค่างานต้นทุน B</t>
  </si>
  <si>
    <t>Factor F ของค่างานต้นทุน C</t>
  </si>
  <si>
    <t>ตารางคำนวณหาค่า Factor F งานก่อสร้างชลประทาน</t>
  </si>
  <si>
    <t>สถานที่ก่อสร้าง</t>
  </si>
  <si>
    <t>แบบเลขที่</t>
  </si>
  <si>
    <t>เมื่อวันที่</t>
  </si>
  <si>
    <t>หน่วย : บาท</t>
  </si>
  <si>
    <t>ลำดับที่</t>
  </si>
  <si>
    <t>รายการ</t>
  </si>
  <si>
    <t>จำนวน</t>
  </si>
  <si>
    <t>หน่วย</t>
  </si>
  <si>
    <t>จำนวนเงิน</t>
  </si>
  <si>
    <t>ลบ.ม.</t>
  </si>
  <si>
    <t>ตร.ม.</t>
  </si>
  <si>
    <t>ต้น</t>
  </si>
  <si>
    <t>เมตร</t>
  </si>
  <si>
    <t>หลักเกณฑ์และตารางคำนวณหาค่าวัสดุมวลรวมต่อหน่วย</t>
  </si>
  <si>
    <t>ราคา/หน่วย</t>
  </si>
  <si>
    <t>ราคารวม</t>
  </si>
  <si>
    <t>(บาท)</t>
  </si>
  <si>
    <t>วัสดุมวลรวมของงานคอนกรีตส่วนผสมต่างๆ</t>
  </si>
  <si>
    <t xml:space="preserve"> </t>
  </si>
  <si>
    <t>คอนกรีตส่วนผสม 1 : 3 : 5 (คอนกรีตหยาบ)</t>
  </si>
  <si>
    <t xml:space="preserve"> - ปูนซีเมนต์ปอร์ตแลนด์ (มอก. 80/2517)</t>
  </si>
  <si>
    <t>กก.</t>
  </si>
  <si>
    <t xml:space="preserve">   </t>
  </si>
  <si>
    <t xml:space="preserve"> - ทรายหยาบ</t>
  </si>
  <si>
    <t xml:space="preserve"> - หินเบอร์ 1-2</t>
  </si>
  <si>
    <t xml:space="preserve"> - น้ำผสมคอนกรีต</t>
  </si>
  <si>
    <t>ลิตร</t>
  </si>
  <si>
    <t xml:space="preserve">                      รวมคอนกรีต  1 : 3 : 5 </t>
  </si>
  <si>
    <t xml:space="preserve"> =</t>
  </si>
  <si>
    <t xml:space="preserve">  *</t>
  </si>
  <si>
    <t xml:space="preserve"> - ปูนซีเมนต์ปอร์ตแลนด์ (มอก. 15/2514)</t>
  </si>
  <si>
    <t>คอนกรีตส่วนผสม 1 : 2 : 4</t>
  </si>
  <si>
    <t xml:space="preserve"> - ปูนซีเมนต์ปอร์ตแลนด์ (มอก.80/2517)</t>
  </si>
  <si>
    <t xml:space="preserve">                      รวมคอนกรีต  1 : 2 : 4</t>
  </si>
  <si>
    <t xml:space="preserve"> - ปูนซีเมนต์ปอร์ตแลนด์ (มอก.15/2514)</t>
  </si>
  <si>
    <t xml:space="preserve"> - ปูนซีเมนต์ปอร์ตแลนด์ประเภท 5</t>
  </si>
  <si>
    <t>วัสดุมวลรวมของงานคอนกรีตตามมาตรฐานกรมโยธาธิการฯ</t>
  </si>
  <si>
    <t xml:space="preserve"> - ปูนซีเมนต์ปอร์ตแลนด์  (มอก.15/2514)</t>
  </si>
  <si>
    <t xml:space="preserve">                      รวมคอนกรีต ค.1</t>
  </si>
  <si>
    <t xml:space="preserve">                      รวมคอนกรีต ค.2</t>
  </si>
  <si>
    <t xml:space="preserve"> - ปูนซีเมนต์ปอร์ตแลนด์ ( มอก.15/2514)</t>
  </si>
  <si>
    <t xml:space="preserve">                      รวมคอนกรีต ค.3</t>
  </si>
  <si>
    <t xml:space="preserve">                      รวมคอนกรีต ค.4</t>
  </si>
  <si>
    <t>วัสดุมวลรวมของงานคอนกรีตผสมเสร็จ (ด้วยรถผสมปูน)</t>
  </si>
  <si>
    <t xml:space="preserve"> ระยะทาง ไม่เกิน</t>
  </si>
  <si>
    <t xml:space="preserve">  คอนกรีตกำลังอัดประลัยมีอายุ 28 วัน (กก./ตร.ซม.)</t>
  </si>
  <si>
    <t>15 กิโลเมตร</t>
  </si>
  <si>
    <t xml:space="preserve">   - รูปลูกบาศก์ 180 กก./ตร.ซม.และรูปทรงกระบอก 140 กก./ตร.ซม.</t>
  </si>
  <si>
    <t>หรือใช้ราคา</t>
  </si>
  <si>
    <t xml:space="preserve">   - รูปลูกบาศก์ 210 กก./ตร.ซม.และรูปทรงกระบอก 180 กก./ตร.ซม.</t>
  </si>
  <si>
    <t>กระทรวงพานิชย์</t>
  </si>
  <si>
    <t xml:space="preserve">   - รูปลูกบาศก์ 240 กก./ตร.ซม.และรูปทรงกระบอก 210 กก./ตร.ซม.</t>
  </si>
  <si>
    <t>"</t>
  </si>
  <si>
    <t xml:space="preserve">   - รูปลูกบาศก์ 280 กก./ตร.ซม.และรูปทรงกระบอก 240 กก./ตร.ซม.</t>
  </si>
  <si>
    <t xml:space="preserve">   - รูปลูกบาศก์ 320 กก./ตร.ซม.และรูปทรงกระบอก 280 กก./ตร.ซม.</t>
  </si>
  <si>
    <t xml:space="preserve">   - รูปลูกบาศก์ 350 กก./ตร.ซม.และรูปทรงกระบอก300 กก./ตร.ซม.</t>
  </si>
  <si>
    <t xml:space="preserve">   - รูปลูกบาศก์ 380 กก./ตร.ซม.และรูปทรงกระบอก 320 กก./ตร.ซม.</t>
  </si>
  <si>
    <t xml:space="preserve">   - รูปลูกบาศก์ 400 กก./ตร.ซม.และรูปทรงกระบอก 350 กก./ตร.ซม.</t>
  </si>
  <si>
    <t>วัสดุมวลรวมของงานคอนกรีตเททับหน้าพื้นสำเร็จรูป</t>
  </si>
  <si>
    <t xml:space="preserve">    รวมคอนกรีตเททับหน้าพื้นสำเร็จรูป</t>
  </si>
  <si>
    <t xml:space="preserve"> - เหล็กเสริม RB dir 6 มม.</t>
  </si>
  <si>
    <t xml:space="preserve"> - ลวดผูกเหล็กเสริม</t>
  </si>
  <si>
    <t xml:space="preserve">    รวมคอนกรีตเททับหน้าพื้นสำเร็จรูปเสริมเหล็ก</t>
  </si>
  <si>
    <t xml:space="preserve"> - เหล็กเสริม RB dir 9 มม.</t>
  </si>
  <si>
    <t>วัสดุมวลรวมของงานคอนกรีตเสาเอ็นและคานทับหลัง</t>
  </si>
  <si>
    <t xml:space="preserve"> - ปูนซีเมนต์ผสม(Silica Cement)</t>
  </si>
  <si>
    <t xml:space="preserve"> - ไม้แบบหล่อคอนกรีต+ตะปู</t>
  </si>
  <si>
    <t xml:space="preserve">    รวมคอนกรีตเสาเอ็นและคานทับหลัง ค.ส.ล.</t>
  </si>
  <si>
    <t>วัสดุมวลรวมของน้ำยากันซึมผสมต่อคอนกรีต</t>
  </si>
  <si>
    <t xml:space="preserve">  น้ำยากันซึมผสมต่อคอนกรีต</t>
  </si>
  <si>
    <t xml:space="preserve"> - น้ำยากันซึม SIKA</t>
  </si>
  <si>
    <t xml:space="preserve">    รวมน้ำยากันซึมผสมต่อคอนกรีต</t>
  </si>
  <si>
    <t>วัสดุมวลรวมของงานก่อผนังด้วยวัสดุชนิดต่างๆ</t>
  </si>
  <si>
    <t xml:space="preserve">  แนวปูนก่อหนา</t>
  </si>
  <si>
    <t>ผนังก่อสามัญ (อิฐมอญ) ครึ่งแผ่นอิฐ</t>
  </si>
  <si>
    <t xml:space="preserve"> 1 - 2  ซม.</t>
  </si>
  <si>
    <t xml:space="preserve"> - อิฐสามัญ (อิฐมอญ)  ขนาด 3.5 x 7 x 16 ซม.</t>
  </si>
  <si>
    <t>ก้อน</t>
  </si>
  <si>
    <t xml:space="preserve"> - น้ำยาผสมปูนก่อ</t>
  </si>
  <si>
    <t xml:space="preserve">               รวมผนังก่ออิฐสามัญครึ่งแผ่นอิฐ</t>
  </si>
  <si>
    <t>ผนังก่อสามัญ (อิฐมอญ) เต็มแผ่นอิฐ</t>
  </si>
  <si>
    <t xml:space="preserve"> - อิฐสามัญ (อิฐมอญ  ขนาด 3.5 x 7 x 16 ซม.</t>
  </si>
  <si>
    <t>ผนังก่อดินเผาชนิดไม่รับน้ำหนัก (อิฐ 2 รู) ครึ่งแผ่นอิฐ</t>
  </si>
  <si>
    <t xml:space="preserve"> - อิฐดินเผาชนิด 2 รูขนาด 3 x 7 x 16 ซม.</t>
  </si>
  <si>
    <t xml:space="preserve">               รวมผนังก่ออิฐไม่รับน้ำหนักครึ่งแผ่น</t>
  </si>
  <si>
    <t>ผนังก่อดินเผาชนิดไม่รับน้ำหนัก (อิฐ 2 รู) เต็มแผ่นอิฐ</t>
  </si>
  <si>
    <t xml:space="preserve">               รวมผนังก่ออิฐไม่รับน้ำหนักเต็มแผ่น</t>
  </si>
  <si>
    <t>ผนังก่ออิฐดินเผาชนิดทนไฟ</t>
  </si>
  <si>
    <t xml:space="preserve"> - อิฐดินเผาชนิดทนไฟขนาด 11.5 x 23 x 7.6 ซม.</t>
  </si>
  <si>
    <t xml:space="preserve">               รวมผนังก่ออิฐชนิดทนไฟ</t>
  </si>
  <si>
    <t>ผนังก่อซีเมนต์บล็อคขนาด 0.07x0.19x0.39 ม.</t>
  </si>
  <si>
    <t xml:space="preserve"> - ซีเมนต์บล็อค (12.5 แผ่น +4%)</t>
  </si>
  <si>
    <t xml:space="preserve">            รวมผนังก่อซีเมนต์บล๊อคหนา 7 ซม.</t>
  </si>
  <si>
    <t>ผนังก่อซีเมนต์บล็อคขนาด 0.09x0.19x0.39 ม.</t>
  </si>
  <si>
    <t xml:space="preserve">           รวมผนังก่อซีเมนต์บล๊อคหนา 9 ซม.</t>
  </si>
  <si>
    <t xml:space="preserve"> - ซีเมนต์บล็อคชนิดระบายอากาศ (12.5 แผ่น +4%)</t>
  </si>
  <si>
    <t xml:space="preserve">    รวมผนังก่อซีเมนต์บล๊อคชนิดระบายอากาศ</t>
  </si>
  <si>
    <t>วัสดุมวลรวมของงานบุผนังด้วยวัสดุสำเร็จรูปต่างๆ</t>
  </si>
  <si>
    <t xml:space="preserve"> - ทรายละเอียด</t>
  </si>
  <si>
    <t xml:space="preserve"> - น้ำผสมปูน</t>
  </si>
  <si>
    <t xml:space="preserve">    รวมปูนทรายรองพื้น(สำหรับปูแผ่นผนังสำเร็จรูป)</t>
  </si>
  <si>
    <t xml:space="preserve"> - น้ำยาผสมปูนฉาบ</t>
  </si>
  <si>
    <t xml:space="preserve">    รวมปูนฉาบผิวเรียบ</t>
  </si>
  <si>
    <t xml:space="preserve">    รวมปูนฉาบผิวซีเมนต์ขัดมันเรียบ</t>
  </si>
  <si>
    <t xml:space="preserve">    รวมปูนฉาบผิวซีเมนต์ขัดมันเรียบผสมน้ำยากันซึม</t>
  </si>
  <si>
    <t xml:space="preserve">    รวมปูนฉาบผิวสลัดปูนปาดด้วยเกรียง</t>
  </si>
  <si>
    <t xml:space="preserve"> - ปูนซีเมนต์ขาว</t>
  </si>
  <si>
    <t xml:space="preserve"> - กรวดน้ำจืด</t>
  </si>
  <si>
    <t xml:space="preserve"> - สีฝุ่น</t>
  </si>
  <si>
    <t xml:space="preserve">    รวมค่าวัสดุฉาบปูนผิวกรวดล้าง</t>
  </si>
  <si>
    <t xml:space="preserve"> - หินเกล็ด</t>
  </si>
  <si>
    <t xml:space="preserve">    รวมค่าวัสดุฉาบปูนผิวหินล้าง</t>
  </si>
  <si>
    <t>ผนังบุกระเบื้องเคลือบขาวขนาด 4"x4"</t>
  </si>
  <si>
    <t xml:space="preserve"> - กระเบื้องเคลือบขาว 4"x4"(เผื่อ = 100+5 แผ่น)</t>
  </si>
  <si>
    <t>แผ่น</t>
  </si>
  <si>
    <t xml:space="preserve"> - ปูนยาแนว</t>
  </si>
  <si>
    <t xml:space="preserve"> - คิ้ว พี วี ซี.</t>
  </si>
  <si>
    <t xml:space="preserve">    รวมผนังบุกระเบื้องเคลือบขาว 4"x4"</t>
  </si>
  <si>
    <t>ผนังบุกระเบื้องเคลือบสีธรรมดาขนาด 4"x4"</t>
  </si>
  <si>
    <t xml:space="preserve"> - กระเบื้องเคลือบสี 4"x4"(เผื่อ = 100+5 แผ่น)</t>
  </si>
  <si>
    <t xml:space="preserve">    รวมผนังบุกระเบื้องเคลือบสี 4"x4"</t>
  </si>
  <si>
    <t>ผนังบุกระเบื้องเคลือบขาวขนาด 8"x8"</t>
  </si>
  <si>
    <t xml:space="preserve"> - กระเบื้องเคลือบขาว 8"x8"(25+1 แผ่น)</t>
  </si>
  <si>
    <t xml:space="preserve"> - ปูนซีเมนต์ขาวยาแนว</t>
  </si>
  <si>
    <t xml:space="preserve">    รวมผนังบุกระเบื้องเคลือบขาว 8"x8"</t>
  </si>
  <si>
    <t>ผนังบุกระเบื้องเคลือบสีธรรมดาขนาด 8"x8"</t>
  </si>
  <si>
    <t xml:space="preserve"> - กระเบื้องเคลือบสี 8"x8"(25+1 แผ่น)</t>
  </si>
  <si>
    <t xml:space="preserve">    รวมผนังบุกระเบื้องเคลือบสีธรรมดา 8"x8"</t>
  </si>
  <si>
    <t>ผนังบุกระเบื้องเคลือบสีมีลวดลายขนาด 8"x8"</t>
  </si>
  <si>
    <t xml:space="preserve"> - กระเบื้องเคลือบสีลวดลาย 8"x8"(25+1 แผ่น)</t>
  </si>
  <si>
    <t xml:space="preserve">    รวมผนังบุกระเบื้องเคลือบสีมีลวดลาย 8"x8"</t>
  </si>
  <si>
    <t>ผนังบุกระเบื้องเซรามิคเคลือบสีธรรมดาขนาด 8"x10"</t>
  </si>
  <si>
    <t xml:space="preserve"> - กระเบื้องแซรามิคสีธรรมดา 8"x10"(20+1 แผ่น)</t>
  </si>
  <si>
    <t xml:space="preserve">    รวมผนังบุกระเบื้องเซรามิคสีธรรมดา 8"x10"</t>
  </si>
  <si>
    <t>ผนังบุกระเบื้องเซรามิคเคลือบสีมีลวดลายขนาด 8"x10"</t>
  </si>
  <si>
    <t xml:space="preserve"> - กระเบื้องแซรามิคสีมีลวดลาย 8"x10"(20+1 แผ่น)</t>
  </si>
  <si>
    <t xml:space="preserve">    รวมผนังบุกระเบื้องเซรามิคสีมีลวดลาย 8"x10"</t>
  </si>
  <si>
    <t>ผนังบุกระเบื้องเซรามิคเคลือบสีธรรมดาขนาด 12"x12"</t>
  </si>
  <si>
    <t xml:space="preserve"> - กระเบื้องแซรามิคสีธรรมดา 12"x12"(11+1 แผ่น)</t>
  </si>
  <si>
    <t xml:space="preserve">    รวมผนังบุกระเบื้องเซรามิคสีธรรมดา 12"x12"</t>
  </si>
  <si>
    <t>ผนังบุกระเบื้องเซรามิคเคลือบสีมีลวดลายขนาด 12"x12"</t>
  </si>
  <si>
    <t xml:space="preserve"> - กระเบื้องแซรามิคสีมีลวดลาย 12"x12"(11+1 แผ่น)</t>
  </si>
  <si>
    <t xml:space="preserve">    รวมผนังบุกระเบื้องเซรามิคสีมีลวดลาย 12"x12"</t>
  </si>
  <si>
    <t>ผนังบุกระเบื้องเซรามิคไม่เคลือบผิวขนาด 4"x8"</t>
  </si>
  <si>
    <t xml:space="preserve"> - กระเบื้องเซรามิคไม่เคลือบผิว 4"x8"(50+5 แผ่น)</t>
  </si>
  <si>
    <t xml:space="preserve"> - ปูนซีเมนต์ขาวยาแนว + สีฝุ่น + อื่นๆ</t>
  </si>
  <si>
    <t xml:space="preserve">    รวมผนังบุกระเบื้องเซรามิคไม่เคลือบผิว 4"x8"</t>
  </si>
  <si>
    <t>ผนังบุแผ่นหินอ่อนในประเทศขนาด 2x30x60 ซม.</t>
  </si>
  <si>
    <t xml:space="preserve"> - แผ่นหินอ่อนสีเทา-ขาว</t>
  </si>
  <si>
    <t>เผื่อ 10%</t>
  </si>
  <si>
    <t xml:space="preserve"> - ปูนซีเมนต์ขาวยาแนว + สีฝุ่น</t>
  </si>
  <si>
    <t xml:space="preserve"> - WAX</t>
  </si>
  <si>
    <t xml:space="preserve"> - อุปกรณ์ขอยึดแผ่น</t>
  </si>
  <si>
    <t xml:space="preserve">    รวมผนังบุแผ่นหินอ่อนสีเทา-ขาว</t>
  </si>
  <si>
    <t>ผนังบุแผ่นหินแกรนิตในประเทศขนาด 2x30x60 ซม.</t>
  </si>
  <si>
    <t xml:space="preserve"> - แผ่นหินแกรนิตสีเทา-ดำ</t>
  </si>
  <si>
    <t xml:space="preserve"> - ปูนซีเมนต์ขาวยาแนว+สีฝุ่น</t>
  </si>
  <si>
    <t xml:space="preserve">    รวมผนังบุแผ่นหินแกรนิตสีเทา-ดำ</t>
  </si>
  <si>
    <t>ผนังบุกระเบื้องแผ่นหินขัดขนาด 12"x12" (สีขาว,สีเทา)</t>
  </si>
  <si>
    <t xml:space="preserve"> - กระเบื้องแผ่นหินขัด 12"x12"(11+1 แผ่น)</t>
  </si>
  <si>
    <t xml:space="preserve">    รวมผนังบุกระเบื้องแผ่นหินขัด 12"x12"</t>
  </si>
  <si>
    <t>ผนังบุกระเบื้องดินเผาด่านเกวียนขนาด 4"x4"</t>
  </si>
  <si>
    <t xml:space="preserve"> - กระเบื้องดินเผาด่านเกวียน 4"x4"(เผื่อ = 100+5 แผ่น)</t>
  </si>
  <si>
    <t xml:space="preserve">    รวมผนังบุกระเบื้องดินเผาด่านเกวียน 4"x4"</t>
  </si>
  <si>
    <t>วัสดุมวลรวมของงานทำผนังเบาด้วยวัสดุสำเร็จรูปต่างๆ</t>
  </si>
  <si>
    <t xml:space="preserve">   ฝาไม้ยางตีซ้อนเกล็ดทางนอน 1/2"x6"โครงคร่าวไม้ยางวาง</t>
  </si>
  <si>
    <t>ตั้งขนาด 1-1/2"x3" ระยะห่าง c/c 0.50 เมตร</t>
  </si>
  <si>
    <t xml:space="preserve"> - ฝาไม้ยางใสลบมุม ขนาด 1/2"x 6"(เผื่อ 10%)</t>
  </si>
  <si>
    <t>ลบ.ฟ.</t>
  </si>
  <si>
    <t xml:space="preserve"> - โครงคร่าวไม้ยางใส ขนาด 1-1/2"x 3"(เผื่อ 10%)</t>
  </si>
  <si>
    <t xml:space="preserve"> - ตะปู</t>
  </si>
  <si>
    <t xml:space="preserve">    รวมวัสดุทำฝาไม้ยางซ้อนเกล็ดทางนอน</t>
  </si>
  <si>
    <t xml:space="preserve">   ฝาไม้ยางตีทับเกล็ดทางตั้ง 1/2"x6"โครงคร่าวไม้ยางวางทาง</t>
  </si>
  <si>
    <t>นอนขนาด 1-1/2"x3" ระยะห่าง c/c 0.50 เมตร</t>
  </si>
  <si>
    <t xml:space="preserve">    รวมวัสดุทำฝาไม้ยางตีทับเกล็ดทางตั้ง</t>
  </si>
  <si>
    <t xml:space="preserve">   ฝาไม้ยางตีซ้อนเกล็ดทางนอน 1/2"x6"โครงคร่าวไม้เนื้อแข็ง</t>
  </si>
  <si>
    <t>วางตั้งขนาด 1-1/2"x3" ระยะห่าง c/c 0.50 เมตร</t>
  </si>
  <si>
    <t xml:space="preserve"> - โครงคร่าวไม้เนื้อแข็งใส ขนาด 1-1/2"x 3"(เผื่อ 10%)</t>
  </si>
  <si>
    <t xml:space="preserve">   ฝาไม้ยางตีทับเกล็ดทางตั้ง 1/2"x6"โครงคร่าวไม้เนื้อแข็งวาง</t>
  </si>
  <si>
    <t>ทางนอนขนาด 1-1/2"x3" ระยะห่าง c/c 0.50 เมตร</t>
  </si>
  <si>
    <t xml:space="preserve"> - ฝาไม้ยางใสลบมุม ขนาด 1/2"x 6"</t>
  </si>
  <si>
    <t xml:space="preserve">   ฝาผนังไม้แดงบังใบเซาะร่อง V ขนาด 1/2"x 4" โครงคร่าว</t>
  </si>
  <si>
    <t>ไม้เนื้อแข็งขนาด 1-1/2"x3" ระยะห่าง c/c 0.50 เมตร</t>
  </si>
  <si>
    <t xml:space="preserve"> - ไม้แดงใส บังใบ เซาะร่อง V ขนาด 1/2"x 4"</t>
  </si>
  <si>
    <t xml:space="preserve">    รวมวัสดุทำฝาผนังไม้แดงเซาะร่อง V บุด้านเดียว</t>
  </si>
  <si>
    <t xml:space="preserve">   ฝาผนังไม้สักบังใบเซาะร่อง V  ขนาด 1/2"x 4"  โครงคร่าว</t>
  </si>
  <si>
    <t xml:space="preserve"> - ไม้สักใสบังใบเซาะร่อง V ขนาด 1/2"x 4"</t>
  </si>
  <si>
    <t xml:space="preserve">    รวมวัสดุทำฝาผนังไม้สักเซาะร่อง V บุด้านเดียว</t>
  </si>
  <si>
    <t xml:space="preserve">   ฝาผนังไม้มะค่าบังใบเซาะร่อง V ขนาด 1/2"x 4"โครงคร่าว</t>
  </si>
  <si>
    <t xml:space="preserve"> - ไม้มะค่าใสบังใบเซาะร่อง V ขนาด 1/2"x 4"</t>
  </si>
  <si>
    <t xml:space="preserve">    รวมวัสดุทำฝาผนังไม้มะค่าเซาะร่อง V บุด้านเดียว</t>
  </si>
  <si>
    <t xml:space="preserve">  ผนังไม้อัดยางหนา 4 มม. 4'x8' โครงคร่าวไม้ยาง 1-1/2"x 3"</t>
  </si>
  <si>
    <t>ระยะห่าง c/c 0.40x0.60 เมตร # บุด้านเดียว</t>
  </si>
  <si>
    <t xml:space="preserve"> - ไม้อัดยางหนา 4 มม. ขนาด 4'x 8' (ใช้ภายใน)</t>
  </si>
  <si>
    <t>1 แผ่นคิด 2.40 ตร.ม.</t>
  </si>
  <si>
    <t xml:space="preserve"> - โครงคร่าวไม้ยางใส 3 ด้าน ขนาด 1-1/2"x 3"</t>
  </si>
  <si>
    <t xml:space="preserve">    รวมวัสดุทำผนังไม้อัดยางหนา 4 มม.บุด้านเดียว</t>
  </si>
  <si>
    <t xml:space="preserve">  ผนังไม้อัดยางหนา 4 มม. 4'x8' โครงคร่าวไม้เนื้อแข็งขนาด</t>
  </si>
  <si>
    <t>1-1/2"x 3" ระยะห่าง c/c 0.40x0.60 เมตร # บุด้านเดียว</t>
  </si>
  <si>
    <t xml:space="preserve"> - โครงคร่าวไม้เนื้อแข็งใส 3 ด้าน ขนาด 1-1/2"x 3"</t>
  </si>
  <si>
    <t xml:space="preserve">  ผนังไม้อัดยางหนา 6 มม. 4'x8' โครงคร่าวไม้ยาง 1-1/2"x 3"</t>
  </si>
  <si>
    <t xml:space="preserve"> - ไม้อัดยางหนา 6 มม. ขนาด 4'x 8' (ใช้ภายใน)</t>
  </si>
  <si>
    <t xml:space="preserve">    รวมวัสดุทำผนังไม้อัดยางหนา 6 มม.บุด้านเดียว</t>
  </si>
  <si>
    <t xml:space="preserve">  ผนังไม้อัดยางหนา 6 มม. 4'x8' โครงคร่าวไม้เนื้อแข็งขนาด</t>
  </si>
  <si>
    <t xml:space="preserve">  ผนังไม้อัดยางหนา 10 มม.4'x8' โครงคร่าวไม้ยาง 1-1/2"x 3"</t>
  </si>
  <si>
    <t xml:space="preserve"> - ไม้อัดยางหนา 10 มม. ขนาด 4'x 8' (ใช้ภายใน)</t>
  </si>
  <si>
    <t xml:space="preserve">    รวมวัสดุทำผนังไม้อัดยางหนา 10 มม.บุด้านเดียว</t>
  </si>
  <si>
    <t xml:space="preserve">  ผนังไม้อัดยางหนา 10 มม.4'x8' โครงคร่าวไม้เนื้อแข็งขนาด</t>
  </si>
  <si>
    <t>ระยะห่าง c/c 0.40x0.60 เมตร # บุสองด้าน</t>
  </si>
  <si>
    <t xml:space="preserve"> - โครงคร่าวไม้ยางใส 2 ด้าน ขนาด 1-1/2"x 3"</t>
  </si>
  <si>
    <t xml:space="preserve">    รวมวัสดุทำผนังไม้อัดยางหนา 4 มม.บุสองด้าน</t>
  </si>
  <si>
    <t>1-1/2"x 3" ระยะห่าง c/c 0.40x0.60 เมตร # บุสองด้าน</t>
  </si>
  <si>
    <t xml:space="preserve"> - โครงคร่าวไม้เนื้อแข็งใส 2 ด้าน ขนาด 1-1/2"x 3"</t>
  </si>
  <si>
    <t xml:space="preserve">    รวมวัสดุทำผนังไม้อัดยางหนา 6 มม.บุสองด้าน</t>
  </si>
  <si>
    <t xml:space="preserve">    รวมวัสดุทำผนังไม้อัดยางหนา 10 มม.บุสองด้าน</t>
  </si>
  <si>
    <t xml:space="preserve">  ผนังไม้อัดสักหนา 4 มม.4'x8' โครงคร่าวไม้ยาง 1-1/2"x 3"</t>
  </si>
  <si>
    <t xml:space="preserve"> - ไม้อัดสักหนา 4 มม. ขนาด 4'x 8' (ใช้ภายใน)</t>
  </si>
  <si>
    <t xml:space="preserve">    รวมวัสดุทำผนังไม้อัดสักหนา 4 มม.บุด้านเดียว</t>
  </si>
  <si>
    <t xml:space="preserve">  ผนังไม้อัดสักหนา 4 มม. 4'x8' โครงคร่าวไม้เนื้อแข็งขนาด</t>
  </si>
  <si>
    <t xml:space="preserve">  ผนังไม้อัดสักหนา 6 มม. 4'x8' โครงคร่าวไม้ยาง 1-1/2"x 3"</t>
  </si>
  <si>
    <t xml:space="preserve"> - ไม้อัดสักหนา 6 มม. ขนาด 4'x 8' (ใช้ภายใน)</t>
  </si>
  <si>
    <t xml:space="preserve">    รวมวัสดุทำผนังไม้อัดสักหนา 6 มม.บุด้านเดียว</t>
  </si>
  <si>
    <t xml:space="preserve">  ผนังไม้อัดสักหนา 6 มม. 4'x8' โครงคร่าวไม้เนื้อแข็งขนาด</t>
  </si>
  <si>
    <t xml:space="preserve">  ผนังไม้อัดสักหนา 10 มม.4'x8' โครงคร่าวไม้ยาง 1-1/2"x 3"</t>
  </si>
  <si>
    <t xml:space="preserve"> - ไม้อัดสักหนา 10 มม. ขนาด 4'x 8' (ใช้ภายใน)</t>
  </si>
  <si>
    <t xml:space="preserve">    รวมวัสดุทำผนังไม้อัดสักหนา 10 มม.บุด้านเดียว</t>
  </si>
  <si>
    <t xml:space="preserve">  ผนังไม้อัดสักหนา 10 มม.4'x8' โครงคร่าวไม้เนื้อแข็งขนาด</t>
  </si>
  <si>
    <t xml:space="preserve">  ผนังไม้อัดสักหนา 4 มม. 4'x8' โครงคร่าวไม้ยาง 1-1/2"x 3"</t>
  </si>
  <si>
    <t xml:space="preserve">    รวมวัสดุทำผนังไม้อัดสักหนา 4 มม.บุสองด้าน</t>
  </si>
  <si>
    <t xml:space="preserve">    รวมวัสดุทำผนังไม้อัดสักหนา 6 มม.บุสองด้าน</t>
  </si>
  <si>
    <t xml:space="preserve">  ผนังไม้อัดสักหนา 10 มม. 4'x8' โครงคร่าวไม้ยาง 1-1/2"x 3"</t>
  </si>
  <si>
    <t xml:space="preserve">    รวมวัสดุทำผนังไม้อัดสักหนา 10 มม.บุสองด้าน</t>
  </si>
  <si>
    <t xml:space="preserve">  ผนังไม้อัดสักหนา 10 มม. 4'x8' โครงคร่าวไม้เนื้อแข็งขนาด</t>
  </si>
  <si>
    <t xml:space="preserve">     ผนังกระเบื้องแผ่นเรียบหนา 6 มม. ขนาด 1.20 x 2.40 ม.</t>
  </si>
  <si>
    <t>โครงคร่าวไม้ยาง 1-1/2"x 3" @ 0.40x0.60 ม. # บุด้านเดียว</t>
  </si>
  <si>
    <t xml:space="preserve"> - กระเบื้องแผ่นเรียบหนา 6 มม. ขนาด 1.20 x 2.40 ม. </t>
  </si>
  <si>
    <t>รวมวัสดุผนังกระเบื้องแผ่นเรียบหนา 6 มม.บุด้านเดียว</t>
  </si>
  <si>
    <t>โครงคร่าวไม้เนื้อแข็ง1-1/2"x 3"@ 0.40x0.60 ม.# บุด้านเดียว</t>
  </si>
  <si>
    <t xml:space="preserve">     ผนังกระเบื้องแผ่นเรียบหนา 8 มม. ขนาด 1.20 x 2.40 ม.</t>
  </si>
  <si>
    <t xml:space="preserve"> - กระเบื้องแผ่นเรียบหนา 8 มม. ขนาด 1.20 x 2.40 ม. </t>
  </si>
  <si>
    <t>รวมวัสดุผนังกระเบื้องแผ่นเรียบหนา 8 มม.บุด้านเดียว</t>
  </si>
  <si>
    <t>โครงคร่าวไม้ยาง 1-1/2"x 3" @ 0.40x0.60 ม. # บุสองด้าน</t>
  </si>
  <si>
    <t>รวมวัสดุผนังกระเบื้องแผ่นเรียบหนา 6 มม.บุสองด้าน</t>
  </si>
  <si>
    <t>โครงคร่าวไม้เนื้อแข็ง1-1/2"x 3"@ 0.40x0.60 ม.# บุสองด้าน</t>
  </si>
  <si>
    <t>รวมวัสดุผนังกระเบื้องแผ่นเรียบหนา 8 มม.บุสองด้าน</t>
  </si>
  <si>
    <t xml:space="preserve">     ผนังแผ่นยิบซั่มบอร์ด หนา 9 มม. ขนาด 1.20 x 2.40 ม.</t>
  </si>
  <si>
    <t xml:space="preserve"> - แผ่นยิบซั่มบอร์ดหนา 9 มม. ขนาด 1.20 x 2.40 ม. </t>
  </si>
  <si>
    <t xml:space="preserve"> - ฉาบรอยต่อ</t>
  </si>
  <si>
    <t>รวมวัสดุผนังแผ่นยิบซั่มบอร์ดหนา 9 มม.บุด้านเดียว</t>
  </si>
  <si>
    <t xml:space="preserve">     ผนังแผ่นยิบซั่มบอร์ด หนา 12 มม. ขนาด 1.20 x 2.40 ม.</t>
  </si>
  <si>
    <t xml:space="preserve"> - แผ่นยิบซั่มบอร์ดหนา 12 มม. ขนาด 1.20 x 2.40 ม. </t>
  </si>
  <si>
    <t>รวมวัสดุผนังแผ่นยิบซั่มบอร์ดหนา 12 มม.บุด้านเดียว</t>
  </si>
  <si>
    <t>รวมวัสดุผนังแผ่นยิบซั่มบอร์ดหนา 9 มม.บุสองด้าน</t>
  </si>
  <si>
    <t>รวมวัสดุผนังแผ่นยิบซั่มบอร์ดหนา 12 มม.บุสองด้าน</t>
  </si>
  <si>
    <t xml:space="preserve">     ผนังแผ่นยิบซั่มบอร์ด  หนา  9 มม. ขนาด 1.20 x 2.40 ม.</t>
  </si>
  <si>
    <t>โครงคร่าวเหล็กชุบสังกะสี@ 0.60 ม. บุสองด้าน(TG-WALL)</t>
  </si>
  <si>
    <t xml:space="preserve"> - โครงคร่าวเหล็กชุบสังกะสี(92 x 0.55 มม.)</t>
  </si>
  <si>
    <t xml:space="preserve"> - ตะปูเกลียว</t>
  </si>
  <si>
    <t xml:space="preserve"> - ค่าแรงงานติดตั้งผนังทั้งหมด</t>
  </si>
  <si>
    <t>รวมงานทำผนังแผ่นยิบซั่มบอร์ดหนา 9 มม.บุสองด้าน</t>
  </si>
  <si>
    <t xml:space="preserve">  *รวมค่าแรง</t>
  </si>
  <si>
    <t>รวมงานทำผนังแผ่นยิบซั่มบอร์ดหนา 12 มม.บุสองด้าน</t>
  </si>
  <si>
    <t xml:space="preserve">     ผนังแผ่นยิบซั่มบอร์ด หนา 15 มม. ขนาด 1.20 x 2.40 ม.</t>
  </si>
  <si>
    <t>วัสดุมวลรวมของงานปูพื้นด้วยวัสดุสำเร็จรูปต่างๆ</t>
  </si>
  <si>
    <t xml:space="preserve">    รวมปูนทรายรองพื้น(สำหรับปูแผ่นพื้นสำเร็จรูป)</t>
  </si>
  <si>
    <t xml:space="preserve">    รวมปูนทรายรองพื้นผิวซีเมนต์ขัดมัน</t>
  </si>
  <si>
    <t xml:space="preserve"> - น้ำยากันซึม</t>
  </si>
  <si>
    <t xml:space="preserve">    รวมปูนทรายรองพื้นผิวซีเมนต์ขัดมันผสมกันซึม</t>
  </si>
  <si>
    <t xml:space="preserve">    รวมวัสดุทำพื้นผิวกรวดล้าง</t>
  </si>
  <si>
    <t xml:space="preserve">    รวมวัสดุทำพื้นผิวหินล้าง</t>
  </si>
  <si>
    <t xml:space="preserve"> - หินเกล็ดเบอร์ 2.5+ 3+4</t>
  </si>
  <si>
    <t xml:space="preserve">    รวมวัสดุทำพื้นผิวหินขัดเบอร์ 2.5+3+4</t>
  </si>
  <si>
    <t xml:space="preserve"> - หินเกล็ดเบอร์ 2.5+3+4</t>
  </si>
  <si>
    <t xml:space="preserve"> - เส้น PVC แบ่งแนว</t>
  </si>
  <si>
    <t xml:space="preserve">  รวมวัสดุทำพื้นผิวหินขัดเบอร์ 1+2+3 มีเส้น PVC แบ่งแนว</t>
  </si>
  <si>
    <t>พื้นปูกระเบื้องเคลือบขาวขนาด 4"x4"</t>
  </si>
  <si>
    <t xml:space="preserve"> - กระเบื้องเคลือบขาว 4"x4"(100+5 แผ่น)</t>
  </si>
  <si>
    <t xml:space="preserve">    รวมพื้นปูกระเบื้องเคลือบขาว 4"x4"</t>
  </si>
  <si>
    <t>พื้นปูกระเบื้องเคลือบสีธรรมดาขนาด 4"x4"</t>
  </si>
  <si>
    <t xml:space="preserve"> - กระเบื้องเคลือบสี 4"x4"(100+5 แผ่น)</t>
  </si>
  <si>
    <t xml:space="preserve">    รวมพื้นปูกระเบื้องเคลือบสี 4"x4"</t>
  </si>
  <si>
    <t>พื้นปูกระเบื้องเคลือบขาวขนาด 8"x8"</t>
  </si>
  <si>
    <t xml:space="preserve"> - กระเบื้องเคลือบขาว 8"x8"(25+3 แผ่น)</t>
  </si>
  <si>
    <t xml:space="preserve">    รวมพื้นปูกระเบื้องเคลือบขาว 8"x8"</t>
  </si>
  <si>
    <t>พื้นปูกระเบื้องเคลือบสีธรรมดาขนาด 8"x8"</t>
  </si>
  <si>
    <t xml:space="preserve"> - กระเบื้องเคลือบสี 8"x8"(25+3 แผ่น)</t>
  </si>
  <si>
    <t xml:space="preserve">    รวมพื้นปูกระเบื้องเคลือบสีธรรมดา 8"x8"</t>
  </si>
  <si>
    <t>พื้นปูกระเบื้องเคลือบสีมีลวดลายขนาด 8"x8"</t>
  </si>
  <si>
    <t xml:space="preserve"> - กระเบื้องเคลือบสีมีลวดลาย 8"x8"(25+3 แผ่น)</t>
  </si>
  <si>
    <t xml:space="preserve">    รวมพื้นปูกระเบื้องเคลือบสีมีลวดลาย 8"x8"</t>
  </si>
  <si>
    <t>พื้นปูกระเบื้องเซรามิคสีธรรมดาขนาด 8"x8"</t>
  </si>
  <si>
    <t xml:space="preserve"> - กระเบื้องแซรามิคสีธรรมดา 8"x8"(25+3 แผ่น)</t>
  </si>
  <si>
    <t xml:space="preserve">    รวมพื้นปูกระเบื้องเซรามิคสีธรรมดา 8"x8"</t>
  </si>
  <si>
    <t>พื้นปูกระเบื้องเซรามิคสีมีลวดลายขนาด 8"x8"</t>
  </si>
  <si>
    <t xml:space="preserve"> - กระเบื้องแซรามิคสีมีลวดลาย 8"x8"(25+3 แผ่น)</t>
  </si>
  <si>
    <t xml:space="preserve">    รวมพื้นปูกระเบื้องเซรามิคสีมีลวดลาย 8"x8"</t>
  </si>
  <si>
    <t>พื้นปูกระเบื้องเซรามิคสีธรรมดาขนาด 12"x12"</t>
  </si>
  <si>
    <t xml:space="preserve"> - กระเบื้องแซรามิคสีธรรมดา 12"x12"(11+3 แผ่น)</t>
  </si>
  <si>
    <t xml:space="preserve">    รวมพื้นปูกระเบื้องเซรามิคสีธรรมดา 12"x12"</t>
  </si>
  <si>
    <t>พื้นปูกระเบื้องเซรามิคสีมีลวดลายขนาด 12"x12"</t>
  </si>
  <si>
    <t xml:space="preserve"> - กระเบื้องแซรามิคสีมีลวดลาย 12"x12"(11+3 แผ่น)</t>
  </si>
  <si>
    <t xml:space="preserve">    รวมพื้นปูกระเบื้องเซรามิคสีมีลวดลาย 12"x12"</t>
  </si>
  <si>
    <t>พื้นปูกระเบื้องแผ่นหินขัดขนาด 12"x12"</t>
  </si>
  <si>
    <t xml:space="preserve">    รวมพื้นปูกระเบื้องแผ่นหินขัด 12"x12"</t>
  </si>
  <si>
    <t>พื้นปูแผ่นหินอ่อนขนาด  30 ซม. X 60 ซม.</t>
  </si>
  <si>
    <t xml:space="preserve"> - แผ่นหินอ่อนขนาด  30 ซม. X 60 ซม. หนา 2 ซม.</t>
  </si>
  <si>
    <t>เผื่อ 6%</t>
  </si>
  <si>
    <t xml:space="preserve">    รวมพื้นปูแผ่นหินอ่อน</t>
  </si>
  <si>
    <t>พื้นปูแผ่นหินแกรนิตขนาด  30 ซม. X 60 ซม.</t>
  </si>
  <si>
    <t xml:space="preserve"> - แผ่นหินแกรนิตขนาด  30 ซม. X 60 ซม. หนา 2 ซม.</t>
  </si>
  <si>
    <t xml:space="preserve">    รวมพื้นปูแผ่นหินแกรนิต</t>
  </si>
  <si>
    <t xml:space="preserve"> - กระเบื้องยางขนาด 9" x 9" หนา 1.6 มม.</t>
  </si>
  <si>
    <t>เผื่อ 5%</t>
  </si>
  <si>
    <t xml:space="preserve"> - กาวสำหรับปูกระเบื้องยาง</t>
  </si>
  <si>
    <t xml:space="preserve">    รวมพื้นปูกระเบื้องยางหนา 1.6 มม.</t>
  </si>
  <si>
    <t xml:space="preserve"> - กระเบื้องยางขนาด 9" x 9" หนา 2 มม.</t>
  </si>
  <si>
    <t xml:space="preserve">    รวมพื้นปูกระเบื้องยางหนา 2 มม.</t>
  </si>
  <si>
    <t xml:space="preserve"> - กระเบื้องยางขนาด 9" x 9" หนา 2.5 มม.</t>
  </si>
  <si>
    <t xml:space="preserve">    รวมพื้นปูกระเบื้องยางหนา 2.5 มม.</t>
  </si>
  <si>
    <t xml:space="preserve"> - กระเบื้องยางขนาด 9" x 9" หนา 3.2 มม.</t>
  </si>
  <si>
    <t xml:space="preserve">    รวมพื้นปูกระเบื้องยางหนา 3.2 มม.</t>
  </si>
  <si>
    <t xml:space="preserve"> - กระเบื้องยางชนิดม้วน หนา 2.5 มม.</t>
  </si>
  <si>
    <t xml:space="preserve">    รวมพื้นปูกระเบื้องยางชนิดม้วนหนา 3.2 มม.</t>
  </si>
  <si>
    <t xml:space="preserve"> - กระเบื้องยางชนิดม้วน หนา 3.2 มม.</t>
  </si>
  <si>
    <t xml:space="preserve"> - ปาร์เก้ไม้สักขนาด 1.3/4"x 8.1/2" หนา 15 มม.</t>
  </si>
  <si>
    <t xml:space="preserve"> - กาวสำหรับปูปาร์เก้</t>
  </si>
  <si>
    <t xml:space="preserve">    รวมพื้นปูปาร์เก้ไม้สักชนิดล้นร่องหนา 15 มม.</t>
  </si>
  <si>
    <t xml:space="preserve"> - ปาร์เก้ไม้สักขนาด 1.3/4"x 10" หนา 19 มม.</t>
  </si>
  <si>
    <t xml:space="preserve">    รวมพื้นปูปาร์เก้ไม้สักชนิดลิ้นร่องหนา 19 มม.</t>
  </si>
  <si>
    <t xml:space="preserve"> - ปาร์เก้ไม้แดงขนาด 1.3/4"x 8.1/2" หนา 19 มม.</t>
  </si>
  <si>
    <t xml:space="preserve">    รวมพื้นปูปาร์เก้ไม้แดงชนิดลิ้นร่องหนา 19 มม.</t>
  </si>
  <si>
    <t xml:space="preserve"> - ปาร์เก้ไม้แดงขนาด 1.3/4"x 12" หนา 19 มม.</t>
  </si>
  <si>
    <t xml:space="preserve"> - ปาร์เก้ไม้มะค่าขนาด 1.3/4"x 12" หนา 19 มม.</t>
  </si>
  <si>
    <t xml:space="preserve">    รวมพื้นปูปาร์เก้ไม้มะค่าชนิดลิ้นร่องหนา 19 มม.</t>
  </si>
  <si>
    <t xml:space="preserve"> - ปาร์เก้ไม้ประดู่ขนาด 1.3/4"x 12" หนา 19 มม.</t>
  </si>
  <si>
    <t xml:space="preserve">    รวมพื้นปูปาร์เก้ไม้ประดู่ชนิดลิ้นร่องหนา 19 มม.</t>
  </si>
  <si>
    <t xml:space="preserve"> - ปาร์เก้โมเสคไม้แดงขนาด 1/2"x 6"หนา1/2"  8 ชิ้น</t>
  </si>
  <si>
    <t xml:space="preserve">    รวมพื้นปูปาร์เก้โมเสคไม้แดงหนา 1/2"</t>
  </si>
  <si>
    <t xml:space="preserve"> - ปาร์เก้โมเสคไม้เบ็ญจพรรณขนาด 1/2"x 4.1/2" 6 ชิ้น</t>
  </si>
  <si>
    <t>พื้นไม้ยางเข้าลิ้น  1"x 4"  ปูบนตงไม้เนื้อแข็ง 1-1/2"x 6"</t>
  </si>
  <si>
    <t>ระยะห่างของตงไม้ไม่เกิน 0.50 ม.c/c</t>
  </si>
  <si>
    <t xml:space="preserve"> - พื้นไม้ยางขนาด 1"x 4" เข้าลิ้นอาบน้ำยา อบไส</t>
  </si>
  <si>
    <t>เผื่อเศษแล้ว</t>
  </si>
  <si>
    <t xml:space="preserve"> - ตงไม้เนื้อแข็ง 1-1/2"x 6" ไสเรียบ</t>
  </si>
  <si>
    <t xml:space="preserve">    รวมพื้นไม้ยางเข้าลิ้น 1"x 4" ปูบนตงไม้</t>
  </si>
  <si>
    <t>พื้นไม้ยางเข้าลิ้น  1"x 6"  ปูบนตงไม้เนื้อแข็ง 1-1/2"x 6"</t>
  </si>
  <si>
    <t xml:space="preserve"> - พื้นไม้ยางขนาด 1"x 6" เข้าลิ้นอาบน้ำยา อบไส</t>
  </si>
  <si>
    <t xml:space="preserve">    รวมพื้นไม้ยางเข้าลิ้น 1"x 6" ปูบนตงไม้</t>
  </si>
  <si>
    <t>พื้นไม้เนื้อแข็งเข้าลิ้น1"x 4"ปูบนตงไม้เนื้อแข็ง1-1/2"x 6"</t>
  </si>
  <si>
    <t xml:space="preserve"> - พื้นไม้เนื้อแข็ง 1"x 4" เข้าลิ้นอาบน้ำยา อบไส</t>
  </si>
  <si>
    <t xml:space="preserve">    รวมพื้นไม้เนื้อแข็งเข้าลิ้น 1"x 4" ปูบนตงไม้</t>
  </si>
  <si>
    <t>พื้นไม้เนื้อแข็งเข้าลิ้น1"x 6"ปูบนตงไม้เนื้อแข็ง1-1/2"x 6"</t>
  </si>
  <si>
    <t xml:space="preserve"> - พื้นไม้เนื้อแข็ง 1"x 6" เข้าลิ้นอาบน้ำยา อบไส</t>
  </si>
  <si>
    <t xml:space="preserve">    รวมพื้นไม้เนื้อแข็งเข้าลิ้น 1"x 6" ปูบนตงไม้</t>
  </si>
  <si>
    <t>พื้นไม้แดงเข้าลิ้น 1"x 4"  ปูบนตงไม้เนื้อแข็ง  1-1/2"x 6"</t>
  </si>
  <si>
    <t xml:space="preserve"> - พื้นไม้แดง 1"x 4" เข้าลิ้นอาบน้ำยา อบไส</t>
  </si>
  <si>
    <t xml:space="preserve">    รวมพื้นไม้แดงเข้าลิ้น 1"x 4" ปูบนตงไม้</t>
  </si>
  <si>
    <t>พื้นไม้แดงเข้าลิ้น 1"x 6"   ปูบนตงไม้เนื้อแข็ง  1-1/2"x 6"</t>
  </si>
  <si>
    <t xml:space="preserve"> - พื้นไม้แดง 1"x 6" เข้าลิ้นอาบน้ำยา อบไส</t>
  </si>
  <si>
    <t xml:space="preserve">    รวมพื้นไม้แดงเข้าลิ้น 1"x 6" ปูบนตงไม้</t>
  </si>
  <si>
    <t>พื้นไม้สักเข้าลิ้น 1"x 4"   ปูบนตงไม้เนื้อแข็ง  1-1/2"x 6"</t>
  </si>
  <si>
    <t xml:space="preserve"> - พื้นไม้สัก 1"x 4" เข้าลิ้นอาบน้ำยา อบไส</t>
  </si>
  <si>
    <t xml:space="preserve">    รวมพื้นไม้สักเข้าลิ้น 1"x 4" ปูบนตงไม้</t>
  </si>
  <si>
    <t>พื้นไม้สักเข้าลิ้น 1"x 6"   ปูบนตงไม้เนื้อแข็ง  1-1/2"x 6"</t>
  </si>
  <si>
    <t xml:space="preserve"> - พื้นไม้สัก 1"x 6" เข้าลิ้นอาบน้ำยา อบไส</t>
  </si>
  <si>
    <t xml:space="preserve">    รวมพื้นไม้สักเข้าลิ้น 1"x 6" ปูบนตงไม้</t>
  </si>
  <si>
    <t>พื้นไม้มะค่าเข้าลิ้น 1"x 4" ปูบนตงไม้เนื้อแข็ง 1-1/2"x 6"</t>
  </si>
  <si>
    <t xml:space="preserve"> - พื้นไม้มะค่า 1"x 4" เข้าลิ้นอาบน้ำยา อบไส</t>
  </si>
  <si>
    <t xml:space="preserve">    รวมพื้นไม้มะค่าเข้าลิ้น 1"x 4" ปูบนตงไม้</t>
  </si>
  <si>
    <t>พื้นไม้มะค่าเข้าลิ้น 1"x 6" ปูบนตงไม้เนื้อแข็ง 1-1/2"x 6"</t>
  </si>
  <si>
    <t xml:space="preserve"> - พื้นไม้มะค่า 1"x 6" เข้าลิ้นอาบน้ำยา อบไส</t>
  </si>
  <si>
    <t xml:space="preserve">    รวมพื้นไม้มะค่าเข้าลิ้น 1"x 6" ปูบนตงไม้</t>
  </si>
  <si>
    <t>พื้นทางเท้าปูแผ่นซีเมนต์ผิวลวดลายหนา 7 ซม.</t>
  </si>
  <si>
    <t xml:space="preserve"> - แผ่นซีเมนต์หนา 7 ซม. ขนาด 40 x 40 ซม.</t>
  </si>
  <si>
    <t xml:space="preserve"> - ทรายหยาบรองพื้นหนา 5 ซม.</t>
  </si>
  <si>
    <t xml:space="preserve"> - ปูนซีเมนต์ยาแนวรอยต่อ</t>
  </si>
  <si>
    <t xml:space="preserve">    รวมพื้นทางเท้าปูแผ่นซีเมนต์</t>
  </si>
  <si>
    <t>พื้นทางเท้าปูแผ่นซีเมนต์บล็อคแบบคตกริซหนา 6 ซม.</t>
  </si>
  <si>
    <t xml:space="preserve"> - แผ่นซีเมนต์หนา 7 ซม.</t>
  </si>
  <si>
    <t xml:space="preserve">    รวมพื้นทางเท้าปูบล็อคแบบคตกริซหนา 6 ซม.</t>
  </si>
  <si>
    <t>วัสดุมวลรวมของงานทำฝ้าเพดานด้วยวัสดุสำเร็จรูปต่างๆ</t>
  </si>
  <si>
    <t xml:space="preserve">   ฝ้าไม้ยางตีทับเกล็ดขนาด 1/2"x6" โครงคร่าวไม้ยางวางตั้ง</t>
  </si>
  <si>
    <t>ขนาด 1-1/2"x3" ระยะห่าง c/c 0.50 เมตร</t>
  </si>
  <si>
    <t xml:space="preserve"> - ฝ้าไม้ยางใสลบมุม ขนาด 1/2"x 6"</t>
  </si>
  <si>
    <t xml:space="preserve"> - โครงคร่าวไม้ยางใส ขนาด 1-1/2"x 3"</t>
  </si>
  <si>
    <t xml:space="preserve">    รวมวัสดุทำฝ้าเพดานไม้ยางตีทับเกล็ด</t>
  </si>
  <si>
    <t xml:space="preserve">   ฝ้าไม้ยางตีทับเกล็ดขนาด 1/2"x6" โครงคร่าวไม้เนื้อแข็ง</t>
  </si>
  <si>
    <t xml:space="preserve"> - โครงคร่าวไม้เนื้อแข็งใส ขนาด 1-1/2"x 3"</t>
  </si>
  <si>
    <t xml:space="preserve">   ฝ้าไม้เนื้อแข็งขนาด 1/2"x 2"ตีเว้นร่อง 0.05 ซม. โครงคร่าว</t>
  </si>
  <si>
    <t xml:space="preserve"> - ฝ้าไม้เนื้อแข็งใส 3 ด้าน ขนาด 1/2"x 2"</t>
  </si>
  <si>
    <t xml:space="preserve">    รวมวัสดุทำฝ้าเพดานไม้เนื้อแข็งตีเว้นร่อง 0.05 ซม.</t>
  </si>
  <si>
    <t xml:space="preserve">   ฝ้าไม้แดง ขนาด 1/2"x 2" ตีเว้นร่อง 0.05 ซม.   โครงคร่าว</t>
  </si>
  <si>
    <t xml:space="preserve"> - ฝ้าไม้แดงใส 3 ด้าน ขนาด 1/2"x 2"</t>
  </si>
  <si>
    <t xml:space="preserve">    รวมวัสดุทำฝ้าเพดานไม้แดงตีเว้นร่อง 0.05 ซม.</t>
  </si>
  <si>
    <t xml:space="preserve">   ฝ้าไม้มะค่า ขนาด 1/2"x 2" ตีเว้นร่อง 0.05 ซม. โครงคร่าว</t>
  </si>
  <si>
    <t xml:space="preserve"> - ฝ้าไม้มะค่าใส 3 ด้าน ขนาด 1/2"x 2"</t>
  </si>
  <si>
    <t xml:space="preserve">    รวมวัสดุทำฝ้าเพดานไม้มะค่าตีเว้นร่อง 0.05 ซม.</t>
  </si>
  <si>
    <t xml:space="preserve">   ฝ้าไม้แดง ขนาด 1/2"x 3" ตีเว้นร่อง 0.05 ซม.   โครงคร่าว</t>
  </si>
  <si>
    <t xml:space="preserve"> - ฝ้าไม้แดงใส 3 ด้าน ขนาด 1/2"x 3"</t>
  </si>
  <si>
    <t xml:space="preserve">   ฝ้าไม้มะค่า ขนาด 1/2"x 3" ตีเว้นร่อง 0.05 ซม. โครงคร่าว</t>
  </si>
  <si>
    <t xml:space="preserve"> - ฝ้าไม้มะค่าใส 3 ด้าน ขนาด 1/2"x 3"</t>
  </si>
  <si>
    <t xml:space="preserve">   ฝ้าไม้แดงบังใบเซาะร่อง V ขนาด 1/2"x 4" โครงคร่าวไม้</t>
  </si>
  <si>
    <t>เนื้อแข็งขนาด 1-1/2"x3" ระยะห่าง c/c 0.50 เมตร</t>
  </si>
  <si>
    <t xml:space="preserve"> - ฝ้าไม้แดงใสบังใบเซาะร่อง V ขนาด 1/2"x 4"</t>
  </si>
  <si>
    <t xml:space="preserve">    รวมวัสดุทำฝ้าเพดานไม้แดงเซาะร่อง V</t>
  </si>
  <si>
    <t xml:space="preserve">   ฝ้าไม้สัก บังใบเซาะร่อง V  ขนาด 1/2"x 4"  โครงคร่าวไม้</t>
  </si>
  <si>
    <t xml:space="preserve"> - ฝ้าไม้สักใสบังใบเซาะร่อง V ขนาด 1/2"x 4"</t>
  </si>
  <si>
    <t xml:space="preserve">    รวมวัสดุทำฝ้าเพดานไม้สักเซาะร่อง V</t>
  </si>
  <si>
    <t xml:space="preserve">   ฝ้าไม้มะค่าบังใบเซาะร่อง V ขนาด 1/2"x 4" โครงคร่าวไม้</t>
  </si>
  <si>
    <t xml:space="preserve"> - ฝ้าไม้มะค่าใสบังใบเซาะร่อง V ขนาด 1/2"x 4"</t>
  </si>
  <si>
    <t xml:space="preserve">    รวมวัสดุทำฝ้าเพดานไม้มะค่าเซาะร่อง V</t>
  </si>
  <si>
    <t xml:space="preserve">  ฝ้าไม้อัดยางหนา 4 มม. 4'x8' โครงคร่าวไม้ยาง 1-1/2"x 3"</t>
  </si>
  <si>
    <t xml:space="preserve">ระยะห่าง c/c 0.60x0.60 เมตร # </t>
  </si>
  <si>
    <t xml:space="preserve"> - โครงคร่าวไม้ยางใส 1 ด้าน ขนาด 1-1/2"x 3"</t>
  </si>
  <si>
    <t xml:space="preserve">  ฝ้าไม้อัดยางหนา 4 มม. 4'x8'  โครงคร่าวไม้เนื้อแข็งขนาด</t>
  </si>
  <si>
    <t xml:space="preserve">1-1/2"x 3" ระยะห่าง c/c 0.60x0.60 เมตร # </t>
  </si>
  <si>
    <t xml:space="preserve"> - โครงคร่าวไม้เนื้อแข็งใส 1 ด้าน ขนาด 1-1/2"x 3"</t>
  </si>
  <si>
    <t xml:space="preserve">  ฝ้าไม้อัดยางหนา 6 มม. 4'x8' โครงคร่าวไม้ยาง 1-1/2"x 3"</t>
  </si>
  <si>
    <t xml:space="preserve">  ฝ้าไม้อัดยางหนา 6 มม. 4'x8'   โครงคร่าวไม้เนื้อแข็งขนาด</t>
  </si>
  <si>
    <t xml:space="preserve">  ฝ้าไม้อัดสักหนา 4 มม. 4'x8'  โครงคร่าวไม้ยาง 1-1/2"x 3"</t>
  </si>
  <si>
    <t xml:space="preserve">  ฝ้าไม้อัดสักหนา 4 มม. 4'x8'   โครงคร่าวไม้เนื้อแข็งขนาด</t>
  </si>
  <si>
    <t xml:space="preserve">  ฝ้าไม้อัดสักหนา 6 มม. 4'x8'  โครงคร่าวไม้ยาง 1-1/2"x 3"</t>
  </si>
  <si>
    <t xml:space="preserve">  ฝ้าไม้อัดสักหนา 6 มม. 4'x8'   โครงคร่าวไม้เนื้อแข็งขนาด</t>
  </si>
  <si>
    <t xml:space="preserve">  ฝ้าเพดานกระเบื้องแผ่นเรียบหนา 4 มม.ขนาด 1.20x2.40 ม.</t>
  </si>
  <si>
    <t xml:space="preserve">โครงคร่าวไม้ยาง 1-1/2"x 3" @ 0..60x0.60 ม. # </t>
  </si>
  <si>
    <t xml:space="preserve"> - กระเบื้องแผ่นเรียบหนา 4 มม. ขนาด 1.20 x 2.40 ม. </t>
  </si>
  <si>
    <t xml:space="preserve">    รวมวัสดุทำฝ้าเพดานกระเบื้องแผ่นเรียบหนา 4 มม.</t>
  </si>
  <si>
    <t xml:space="preserve">โครงคร่าวไม้เนื้อแข็ง 1-1/2"x 3" @ 0..60x0.60 ม. # </t>
  </si>
  <si>
    <t xml:space="preserve">  ฝ้าเพดานกระเบื้องแผ่นเรียบหนา 6 มม.ขนาด 1.20x2.40 ม.</t>
  </si>
  <si>
    <t xml:space="preserve">    รวมวัสดุทำฝ้าเพดานกระเบื้องแผ่นเรียบหนา 6 มม.</t>
  </si>
  <si>
    <t xml:space="preserve">  ฝ้าเพดานแผ่นยิบซั่มบอร์ดหนา 9 มม.ขนาด 1.20 x 2.40 ม.</t>
  </si>
  <si>
    <t xml:space="preserve">โครงคร่าวไม้ยาง 1-1/2"x 3" @ 0.60x0.60 ม. # </t>
  </si>
  <si>
    <t>รวมวัสดุฝ้าเพดานแผ่นยิบซั่มบอร์ดหนา 9 มม.</t>
  </si>
  <si>
    <t xml:space="preserve">โครงคร่าวไม้เนื้อแข็ง1-1/2"x 3"@ 0.60x0.60 ม.# </t>
  </si>
  <si>
    <t xml:space="preserve">  ฝ้าเพดานแผ่นยิบซั่มบอร์ดหนา 12 มม.ขนาด 1.20x2.40 ม.</t>
  </si>
  <si>
    <t>รวมวัสดุฝ้าเพดานแผ่นยิบซั่มบอร์ดหนา 12 มม.</t>
  </si>
  <si>
    <t xml:space="preserve"> - แผ่นยิบซั่มบอร์ดหนา 12 มม.ขนาด 1.20 x 2.40 ม. </t>
  </si>
  <si>
    <t xml:space="preserve">มีอะลูมิเนียมฟอยล์ คร่าวไม้ยาง 1-1/2"x 3"@ 0.60x0.60 ม. # </t>
  </si>
  <si>
    <t xml:space="preserve"> - แผ่นยิบซั่มบอร์ดชนิดมีอะลูมิเนียมฟอยล์หนา 9 มม. </t>
  </si>
  <si>
    <t xml:space="preserve">มีอะลูมิเนียมฟอยล์ คร่าวไม้เนื้อแข็ง1-1/2"x 3"@0.60x0.60ม. </t>
  </si>
  <si>
    <t xml:space="preserve"> - แผ่นยิบซั่มบอร์ดชนิดมีอะลูมิเนียมฟอยล์หนา 12 มม. </t>
  </si>
  <si>
    <t>รวมวัสดุฝ้าเพดานยิบซั่มบอร์ดหนา 12 มม.มีอะลูมิเนียมฟอยล์</t>
  </si>
  <si>
    <t xml:space="preserve">ชนิดกันความชื้น คร่าวไม้ยาง 1-1/2"x 3"@ 0.60x0.60 ม. # </t>
  </si>
  <si>
    <t xml:space="preserve"> - แผ่นยิบซั่มบอร์ดชนิดกันความชื้นหนา 9 มม. </t>
  </si>
  <si>
    <t xml:space="preserve">  ฝ้าเพดานแผ่นยิบซั่มบอร์ดหนา 9 มม.ขนาด 1.20x2.40 ม.</t>
  </si>
  <si>
    <t xml:space="preserve">ชนิดกันความชื้น คร่าวไม้เนื้อแข็ง1-1/2"x 3"@ 0.60x0.60 ม. </t>
  </si>
  <si>
    <t xml:space="preserve"> - แผ่นยิบซั่มบอร์ดชนิดกันความชื้นหนา 12 มม. </t>
  </si>
  <si>
    <t xml:space="preserve">  ฝ้าเพดานแผ่นยิบซั่มบอร์ดหนา  9 มม.ขนาด 1.20x2.40 ม.</t>
  </si>
  <si>
    <t>โครงคร่าวเหล็กชุบสังกะสี@ 0.60 ม.(TG-  )</t>
  </si>
  <si>
    <t xml:space="preserve"> - ค่าแรงงานติดตั้งฝ้าเพดานทั้งหมด</t>
  </si>
  <si>
    <t>รวมงานทำฝ้าเพดานแผ่นยิบซั่มบอร์ดหนา 9 มม.</t>
  </si>
  <si>
    <t>รวมงานทำฝ้าเพดานแผ่นยิบซั่มบอร์ดหนา 12 มม.</t>
  </si>
  <si>
    <t>มีอะลูมิเนียมฟอยล์ คร่าวเหล็กชุบสังกะสี@ 0.60 ม.(TG-  )</t>
  </si>
  <si>
    <t xml:space="preserve">  ฝ้าเพดานแผ่นยิบซั่มบอร์ดชนิดพิมพ์ลาย หนา  9 มม.ขนาด</t>
  </si>
  <si>
    <t>0.60 x 0.60 ม.โครงคร่าวเหล็กชุบสังกะสี@ 0.60 ม.(TG-  )</t>
  </si>
  <si>
    <t xml:space="preserve"> - แผ่นยิบซั่มบอร์ดหนา 9 มม. ขนาด 0.60 x 0.60 ม. </t>
  </si>
  <si>
    <t xml:space="preserve">  ฝ้าเพดานแผ่นยิบซั่มบอร์ดชนิดพิมพ์ลาย หนา 12 มม.ขนาด</t>
  </si>
  <si>
    <t>0.60 x 1.20 ม.โครงคร่าวเหล็กชุบสังกะสี@ 0.60 ม.(TG-  )</t>
  </si>
  <si>
    <t xml:space="preserve"> - แผ่นยิบซั่มบอร์ดหนา 12 มม. ขนาด 0.60 x 1.20 ม. </t>
  </si>
  <si>
    <t xml:space="preserve">  ฝ้าเพดานแผ่นใยไม้อัดแข็งชนิดเรียบ หนา 6 มม.ขนาด</t>
  </si>
  <si>
    <t>1.20 x 2.40 ม.โครงคร่าวเหล็กชุบสังกะสี@ 0.60 ม.</t>
  </si>
  <si>
    <t xml:space="preserve">  ฝ้าเพดานแผ่นใยไม้อัดแข็งชนิดลวดลาย หนา 6 มม.ขนาด</t>
  </si>
  <si>
    <t>วัสดุมวลรวมของงานทาสี (ต่อพื้นที่ 1 ตารางเมตร)</t>
  </si>
  <si>
    <t xml:space="preserve">   งานทาสีพลาสติกชนิดทาภายนอก</t>
  </si>
  <si>
    <t xml:space="preserve"> - สีโป๊ว</t>
  </si>
  <si>
    <t xml:space="preserve"> - สีทาภายนอกทารองพื้น</t>
  </si>
  <si>
    <t>GL.</t>
  </si>
  <si>
    <t xml:space="preserve"> - สีทาภายนอกทาทับหน้า</t>
  </si>
  <si>
    <t xml:space="preserve"> - น้ำผสมสี</t>
  </si>
  <si>
    <t xml:space="preserve">    รวมวัสดุทาสีภายนอก</t>
  </si>
  <si>
    <t xml:space="preserve">   งานทาสีพลาสติกชนิดทาภายใน</t>
  </si>
  <si>
    <t xml:space="preserve"> - สีทาภายในทารองพื้น</t>
  </si>
  <si>
    <t xml:space="preserve"> - สีทาภายในทาทับหน้า</t>
  </si>
  <si>
    <t xml:space="preserve">    รวมวัสดุทาสีภายใน</t>
  </si>
  <si>
    <t xml:space="preserve">   งานทาสีน้ำมัน</t>
  </si>
  <si>
    <t xml:space="preserve"> - สีทารองพื้น</t>
  </si>
  <si>
    <t xml:space="preserve"> - สีทาทับหน้า</t>
  </si>
  <si>
    <t xml:space="preserve"> - น้ำมันผสมสี</t>
  </si>
  <si>
    <t xml:space="preserve">    รวมวัสดุทาสีน้ำมัน</t>
  </si>
  <si>
    <t xml:space="preserve">   งานทาสีแชลแล็ค</t>
  </si>
  <si>
    <t xml:space="preserve"> - สีโป๊ว-กระดาษทราย</t>
  </si>
  <si>
    <t xml:space="preserve"> - ทารองพื้น</t>
  </si>
  <si>
    <t xml:space="preserve"> - ทาเคลือบด้านหรือเคลือบเงาทับหน้า</t>
  </si>
  <si>
    <t xml:space="preserve"> - ทินเนอร์หรือแอลกอร์ฮอ</t>
  </si>
  <si>
    <t xml:space="preserve">    รวมวัสดุทาแชลแล็ค</t>
  </si>
  <si>
    <t xml:space="preserve">   งานทาสีเหล็กกันสนิม</t>
  </si>
  <si>
    <t xml:space="preserve">    รวมวัสดุทาสีเหล็กกันสนิม</t>
  </si>
  <si>
    <t xml:space="preserve">ในการนำหลักเกณฑ์และตารางคำนวณค่าวัสดุมวลรวมต่อหน่วยไปใช้  มีข้อกำหนด  ดังนี้
1.  กระทรวงพาณิชย์  หมายถึง สำนักดัชนีเศรษฐกิจการค้า กรณีการก่อสร้างในส่วนกลาง   และหมายถึง สำนักงานพาณิชย์จังหวัดที่สิ่งก่อสร้างนั้นตั้งอยู่ หากเป็นกรณีการก่อสร้างในส่วนภูมิภาค
2.  ข้อมูลในช่อง ราคา/หน่วย  เป็นข้อมูลที่กำหนดขึ้นเพื่อเป็นตัวอย่าง   เมื่อนำไปใช้งานจริงต้องใช้ข้อมูลราคาวัสดุ  ค่าแรงงาน และหรืออื่นๆ  ที่เกี่ยวข้อง  ที่เป็นปัจจุบัน  ณ วันที่คำนวณราคากลาง   แทนค่าลงไปแทน
3.  ราคาต่อหน่วย  หมายถึง ราคาวัสดุตามข้อกำหนดเกี่ยวกับราคาและแหล่งวัสดุก่อสร้าง  และหรืออัตราค่าแรงงานตามบัญชีค่าแรงงาน/ดำเนินการสำหรับการถอดแบบคำนวณราคากลางงานก่อสร้าง ตามที่กำหนดในส่วนของแนวทางและวิธีปฏิบัติเกี่ยวกับหลักเกณฑ์การคำนวณราคากลางงานก่อสร้าง  โดยอาจต้องคำนวณและหรือแปลงหน่วยวัดให้สอดคล้องกับหน่วยของข้อมูลที่กำหนดสำหรับแต่ละสูตร (หลักเกณฑ์)
4.  รายการงานก่อสร้างใดที่สามารถคำนวณได้ทั้งกรณีการให้หลักเกณฑ์หรือสูตรการคำนวณค่าวัสดุมวลรวมต่อหน่วย  และคำนวณโดยวิธีการถอดแบบคำนวณราคากลางปกติ   ให้ใช้กรณีที่ผลลัพธ์ที่ได้จากการคำนวณที่ต่ำกว่า
5.  รายการงานก่อสร้างใดที่จำเป็นต้องคำนวณค่างานในลักษณะค่าวัสดุมวลรวมผสมต่อหน่วย  แต่มิได้กำหนดสูตรหรือหลักเกณฑ์ไว้ในส่วนนี้  ให้ผู้มีหน้าที่คำนวณราคากลางกำหนดเองตามข้อมูลข้อเท็จจริงสำหรับรายการงานก่อสร้างนั้นหรือสืบราคาต่อหน่วย   พร้อมทั้งให้จัดทำบันทึกแสดงรายละเอียดของการดำเนินการต่อกรณีดังกล่าวประกอบไว้ด้วย
</t>
  </si>
  <si>
    <t>แบบแสดงรายการ  ปริมาณงาน  และราคา</t>
  </si>
  <si>
    <t>กลุ่มงาน / งาน</t>
  </si>
  <si>
    <t>ชื่อโครงการ / งานก่อสร้าง</t>
  </si>
  <si>
    <t>คำนวณราคากลางโดย</t>
  </si>
  <si>
    <t>ค่าวัสดุ</t>
  </si>
  <si>
    <t>ค่าแรงงาน</t>
  </si>
  <si>
    <t>ราคาต่อหน่วย</t>
  </si>
  <si>
    <t>ค่าวัสดุและแรงงาน</t>
  </si>
  <si>
    <t>รวมค่าวัสดุและค่าแรงงาน</t>
  </si>
  <si>
    <t>แบบ  ปร. 4   ที่แนบ   มีจำนวน</t>
  </si>
  <si>
    <t>หน้า</t>
  </si>
  <si>
    <t>คำนวณราคากลาง   เมื่อวันที่</t>
  </si>
  <si>
    <t>ค่าก่อสร้าง</t>
  </si>
  <si>
    <t>รวมค่าก่อสร้าง</t>
  </si>
  <si>
    <t>ประมาณการโดย</t>
  </si>
  <si>
    <t>(ลงชื่อ)………………………………………….</t>
  </si>
  <si>
    <t>ตรวจ</t>
  </si>
  <si>
    <t>(ลงชื่อ)…………………………………………</t>
  </si>
  <si>
    <t>เห็นชอบ</t>
  </si>
  <si>
    <t>อนุมัติ</t>
  </si>
  <si>
    <t>งานโครงสร้างวิศวกรรม</t>
  </si>
  <si>
    <t>แบบสรุปค่าก่อสร้าง</t>
  </si>
  <si>
    <t>เงื่อนไขการใช้ตาราง  Factor F</t>
  </si>
  <si>
    <t>เงินล่วงหน้าจ่าย….……</t>
  </si>
  <si>
    <t>เงินประกันผลงานหัก..…</t>
  </si>
  <si>
    <t>ดอกเบี้ยเงินกู้……….…..</t>
  </si>
  <si>
    <t>ค่าภาษีมูลค่าเพิ่ม………</t>
  </si>
  <si>
    <t>□</t>
  </si>
  <si>
    <t>ขนาดหรือเนื้อที่อาคาร</t>
  </si>
  <si>
    <t>เฉลี่ย</t>
  </si>
  <si>
    <t>บาท / ตร.ม.</t>
  </si>
  <si>
    <t>งานสถาปัตยกรรม</t>
  </si>
  <si>
    <r>
      <t xml:space="preserve">คอนกรีต ค.1 </t>
    </r>
    <r>
      <rPr>
        <sz val="14"/>
        <rFont val="Browallia New"/>
        <family val="2"/>
      </rPr>
      <t>(STRENGTH 180 กก./ตร.ซม.)</t>
    </r>
  </si>
  <si>
    <r>
      <t xml:space="preserve">คอนกรีต ค.2 </t>
    </r>
    <r>
      <rPr>
        <sz val="14"/>
        <rFont val="Browallia New"/>
        <family val="2"/>
      </rPr>
      <t>(STRENGTH 240 กก./ตร.ซม.)</t>
    </r>
  </si>
  <si>
    <r>
      <t xml:space="preserve">คอนกรีต ค.3 </t>
    </r>
    <r>
      <rPr>
        <sz val="14"/>
        <rFont val="Browallia New"/>
        <family val="2"/>
      </rPr>
      <t>(STRENGTH 300 กก./ตร.ซม.)</t>
    </r>
  </si>
  <si>
    <r>
      <t xml:space="preserve">คอนกรีต ค.4 </t>
    </r>
    <r>
      <rPr>
        <sz val="14"/>
        <rFont val="Browallia New"/>
        <family val="2"/>
      </rPr>
      <t>(STRENGTH 350 กก./ตร.ซม.)</t>
    </r>
  </si>
  <si>
    <r>
      <t xml:space="preserve">  คอนกรีตเททับหน้าพื้นหนา 5 ซม. </t>
    </r>
    <r>
      <rPr>
        <sz val="14"/>
        <rFont val="Browallia New"/>
        <family val="2"/>
      </rPr>
      <t>(ไม่รวมเหล็กเสริมพื้น)</t>
    </r>
  </si>
  <si>
    <r>
      <t xml:space="preserve">  คอนกรีตเททับหน้าพื้นหนา 5 ซม.</t>
    </r>
    <r>
      <rPr>
        <sz val="11"/>
        <rFont val="Browallia New"/>
        <family val="2"/>
      </rPr>
      <t>(รวมเหล็กเสริมพื้น 6 มม.@ 0.20 ม.#)</t>
    </r>
  </si>
  <si>
    <r>
      <t xml:space="preserve">  คอนกรีตเททับหน้าพื้นหนา 5 ซม.</t>
    </r>
    <r>
      <rPr>
        <sz val="11"/>
        <rFont val="Browallia New"/>
        <family val="2"/>
      </rPr>
      <t>(รวมเหล็กเสริมพื้น 9 มม.@ 0.20 ม.#)</t>
    </r>
  </si>
  <si>
    <r>
      <t xml:space="preserve">  คอนกรีตเสาเอ็นและคานทับหลัง </t>
    </r>
    <r>
      <rPr>
        <sz val="14"/>
        <rFont val="Browallia New"/>
        <family val="2"/>
      </rPr>
      <t>(รวมเหล็กเสริม)</t>
    </r>
  </si>
  <si>
    <r>
      <t>ผนังก่อซีเมนต์บล็อคชนิดระบายอากาศ</t>
    </r>
    <r>
      <rPr>
        <b/>
        <sz val="12"/>
        <rFont val="Browallia New"/>
        <family val="2"/>
      </rPr>
      <t>ขนาด 0.09x0.19x0.39 ม.</t>
    </r>
  </si>
  <si>
    <r>
      <t xml:space="preserve">ปูนทรายสำหรับรองพื้นบุวัสดุแผ่นสำเร็จรูป </t>
    </r>
    <r>
      <rPr>
        <sz val="11"/>
        <rFont val="Browallia New"/>
        <family val="2"/>
      </rPr>
      <t>(หนา 1.5 ซม.เผื่อวัสดุเสียหายแล้ว)</t>
    </r>
  </si>
  <si>
    <r>
      <t xml:space="preserve">ปูนฉาบผิวเรียบ </t>
    </r>
    <r>
      <rPr>
        <sz val="11"/>
        <rFont val="Browallia New"/>
        <family val="2"/>
      </rPr>
      <t>(หนา 1.5 ซม.เผื่อวัสดุเสียหายแล้ว)</t>
    </r>
  </si>
  <si>
    <r>
      <t xml:space="preserve">ปูนฉาบผิวซีเมนต์ขัดมันเรียบ </t>
    </r>
    <r>
      <rPr>
        <sz val="11"/>
        <rFont val="Browallia New"/>
        <family val="2"/>
      </rPr>
      <t>(หนา 1.5 ซม.เผื่อวัสดุเสียหายแล้ว)</t>
    </r>
  </si>
  <si>
    <r>
      <t xml:space="preserve">ปูนฉาบผิวซีเมนต์ขัดมันเรียบผสมน้ำยากันซึม </t>
    </r>
    <r>
      <rPr>
        <sz val="11"/>
        <rFont val="Browallia New"/>
        <family val="2"/>
      </rPr>
      <t>(หนา 1.5 ซม.เผื่อวัสดุเสียหายแล้ว)</t>
    </r>
  </si>
  <si>
    <r>
      <t xml:space="preserve">ปูนฉาบผิวสลัดปูนปาดด้วยเกรียง </t>
    </r>
    <r>
      <rPr>
        <sz val="11"/>
        <rFont val="Browallia New"/>
        <family val="2"/>
      </rPr>
      <t>(หนา 2 ซม.เผื่อวัสดุเสียหายแล้ว)</t>
    </r>
  </si>
  <si>
    <r>
      <t xml:space="preserve">ผนังฉาบปูนผิวกรวดล้าง </t>
    </r>
    <r>
      <rPr>
        <sz val="11"/>
        <rFont val="Browallia New"/>
        <family val="2"/>
      </rPr>
      <t>(หนา 1.5 ซม.เผื่อวัสดุเสียหายแล้ว)</t>
    </r>
  </si>
  <si>
    <r>
      <t xml:space="preserve">ผนังฉาบปูนผิวหินล้าง </t>
    </r>
    <r>
      <rPr>
        <sz val="11"/>
        <rFont val="Browallia New"/>
        <family val="2"/>
      </rPr>
      <t>(หนา 1.5 ซม.เผื่อวัสดุเสียหายแล้ว)</t>
    </r>
  </si>
  <si>
    <r>
      <t xml:space="preserve">ปูนทรายรองพื้นสำหรับปูวัสดุแผ่นพื้นสำเร็จรูป </t>
    </r>
    <r>
      <rPr>
        <sz val="11"/>
        <rFont val="Browallia New"/>
        <family val="2"/>
      </rPr>
      <t>(หนา 3 ซม.)</t>
    </r>
  </si>
  <si>
    <r>
      <t xml:space="preserve">ปูนทรายพื้นผิวซีเมนต์ขัดมัน </t>
    </r>
    <r>
      <rPr>
        <sz val="11"/>
        <rFont val="Browallia New"/>
        <family val="2"/>
      </rPr>
      <t>(หนา 3 ซม.)</t>
    </r>
  </si>
  <si>
    <r>
      <t xml:space="preserve">ปูนทรายพื้นผิวซีเมนต์ขัดมันผสมน้ำยากันซึม </t>
    </r>
    <r>
      <rPr>
        <sz val="11"/>
        <rFont val="Browallia New"/>
        <family val="2"/>
      </rPr>
      <t>(หนา 3 ซม.)</t>
    </r>
  </si>
  <si>
    <r>
      <t xml:space="preserve">พื้นทำผิวกรวดล้าง </t>
    </r>
    <r>
      <rPr>
        <b/>
        <sz val="11"/>
        <rFont val="Browallia New"/>
        <family val="2"/>
      </rPr>
      <t>(รวมปูนทรายรองพื้น)</t>
    </r>
  </si>
  <si>
    <r>
      <t xml:space="preserve">พื้นทำผิวหินล้าง </t>
    </r>
    <r>
      <rPr>
        <b/>
        <sz val="11"/>
        <rFont val="Browallia New"/>
        <family val="2"/>
      </rPr>
      <t>(รวมปูนทรายรองพื้น)</t>
    </r>
  </si>
  <si>
    <r>
      <t xml:space="preserve">พื้นทำผิวหินขัดเบอร์ 2.5+3+4 </t>
    </r>
    <r>
      <rPr>
        <b/>
        <sz val="11"/>
        <rFont val="Browallia New"/>
        <family val="2"/>
      </rPr>
      <t>(รวมปูนทรายรองพื้น)</t>
    </r>
  </si>
  <si>
    <r>
      <t xml:space="preserve">พื้นทำผิวหินขัดเบอร์ 2.5+3+4 มีเส้น PVC แบ่งแนว </t>
    </r>
    <r>
      <rPr>
        <b/>
        <sz val="11"/>
        <rFont val="Browallia New"/>
        <family val="2"/>
      </rPr>
      <t>(รวมปูนทรายรองพื้น)</t>
    </r>
  </si>
  <si>
    <r>
      <t xml:space="preserve">พื้นปูกระเบื้องยางชนิดแผ่นหนา 1.6 มม. </t>
    </r>
    <r>
      <rPr>
        <b/>
        <sz val="11"/>
        <rFont val="Browallia New"/>
        <family val="2"/>
      </rPr>
      <t>(รวมปูนทรายรองพื้นขัดมัน)</t>
    </r>
  </si>
  <si>
    <r>
      <t>พื้นปูกระเบื้องยางชนิดแผ่นหนา  2 มม.</t>
    </r>
    <r>
      <rPr>
        <b/>
        <sz val="11"/>
        <rFont val="Browallia New"/>
        <family val="2"/>
      </rPr>
      <t>(รวมปูนทรายรองพื้นขัดมัน)</t>
    </r>
  </si>
  <si>
    <r>
      <t>พื้นปูกระเบื้องยางชนิดแผ่นหนา  2.5 มม.</t>
    </r>
    <r>
      <rPr>
        <b/>
        <sz val="11"/>
        <rFont val="Browallia New"/>
        <family val="2"/>
      </rPr>
      <t>(รวมปูนทรายรองพื้นขัดมัน)</t>
    </r>
  </si>
  <si>
    <r>
      <t>พื้นปูกระเบื้องยางชนิดแผ่นหนา  3.2 มม.</t>
    </r>
    <r>
      <rPr>
        <b/>
        <sz val="11"/>
        <rFont val="Browallia New"/>
        <family val="2"/>
      </rPr>
      <t>(รวมปูนทรายรองพื้นขัดมัน)</t>
    </r>
  </si>
  <si>
    <r>
      <t>พื้นปูกระเบื้องยางชนิดม้วนหนา  2.5 มม.</t>
    </r>
    <r>
      <rPr>
        <b/>
        <sz val="11"/>
        <rFont val="Browallia New"/>
        <family val="2"/>
      </rPr>
      <t>(รวมปูนทรายรองพื้นขัดมัน)</t>
    </r>
  </si>
  <si>
    <r>
      <t>พื้นปูกระเบื้องยางชนิดม้วนหนา  3.2 มม.</t>
    </r>
    <r>
      <rPr>
        <b/>
        <sz val="11"/>
        <rFont val="Browallia New"/>
        <family val="2"/>
      </rPr>
      <t>(รวมปูนทรายรองพื้นขัดมัน)</t>
    </r>
  </si>
  <si>
    <r>
      <t>พื้นปูปาร์เก้ไม้สักชนิดลิ้นร่อง หนา 15 มม.</t>
    </r>
    <r>
      <rPr>
        <b/>
        <sz val="11"/>
        <rFont val="Browallia New"/>
        <family val="2"/>
      </rPr>
      <t>(รวมปูนทรายรองพื้นขัดมัน)</t>
    </r>
  </si>
  <si>
    <r>
      <t>พื้นปูปาร์เก้ไม้สักชนิดลิ้นร่อง หนา 19 มม.</t>
    </r>
    <r>
      <rPr>
        <b/>
        <sz val="11"/>
        <rFont val="Browallia New"/>
        <family val="2"/>
      </rPr>
      <t>(รวมปูนทรายรองพื้นขัดมัน)</t>
    </r>
  </si>
  <si>
    <r>
      <t>พื้นปูปาร์เก้ไม้แดงชนิดลิ้นร่อง หนา 19 มม.</t>
    </r>
    <r>
      <rPr>
        <b/>
        <sz val="11"/>
        <rFont val="Browallia New"/>
        <family val="2"/>
      </rPr>
      <t>(รวมปูนทรายรองพื้นขัดมัน)</t>
    </r>
  </si>
  <si>
    <r>
      <t>พื้นปูปาร์เก้ไม้มะค่าชนิดลิ้นร่อง หนา 19 มม.</t>
    </r>
    <r>
      <rPr>
        <b/>
        <sz val="11"/>
        <rFont val="Browallia New"/>
        <family val="2"/>
      </rPr>
      <t>(รวมปูนทรายรองพื้นขัดมัน)</t>
    </r>
  </si>
  <si>
    <r>
      <t>พื้นปูปาร์เก้ไม้ประดู่ชนิดลิ้นร่อง หนา 19 มม.</t>
    </r>
    <r>
      <rPr>
        <b/>
        <sz val="11"/>
        <rFont val="Browallia New"/>
        <family val="2"/>
      </rPr>
      <t>(รวมปูนทรายรองพื้นขัดมัน)</t>
    </r>
  </si>
  <si>
    <r>
      <t>พื้นปูปาร์เก้โมเสคไม้แดง 8 ชิ้น หนา 1/2"</t>
    </r>
    <r>
      <rPr>
        <b/>
        <sz val="11"/>
        <rFont val="Browallia New"/>
        <family val="2"/>
      </rPr>
      <t>(รวมปูนทรายรองพื้นขัดมัน)</t>
    </r>
  </si>
  <si>
    <r>
      <t>พื้นปูปาร์เก้โมเสคไม้เบญจพรรณ 6 ชิ้น หนา 1/2"</t>
    </r>
    <r>
      <rPr>
        <b/>
        <sz val="11"/>
        <rFont val="Browallia New"/>
        <family val="2"/>
      </rPr>
      <t>(รวมปูนทรายรองพื้นขัดมัน)</t>
    </r>
  </si>
  <si>
    <r>
      <t>ขนาด 40 x 40 ซม.</t>
    </r>
    <r>
      <rPr>
        <b/>
        <sz val="11"/>
        <rFont val="Browallia New"/>
        <family val="2"/>
      </rPr>
      <t>(รวมทรายรองพื้นหนา 5 ซม.)</t>
    </r>
  </si>
  <si>
    <r>
      <t xml:space="preserve">    รวมวัสดุทำฝ้าเพดานไม้อัดยางหนา 4 มม.</t>
    </r>
    <r>
      <rPr>
        <sz val="12"/>
        <rFont val="Browallia New"/>
        <family val="2"/>
      </rPr>
      <t>(คร่าวไม้ยาง)</t>
    </r>
  </si>
  <si>
    <r>
      <t xml:space="preserve">    รวมวัสดุทำฝ้าเพดานไม้อัดยางหนา 4 มม.</t>
    </r>
    <r>
      <rPr>
        <sz val="12"/>
        <rFont val="Browallia New"/>
        <family val="2"/>
      </rPr>
      <t>(ไม้เนื้อแข็ง)</t>
    </r>
  </si>
  <si>
    <r>
      <t xml:space="preserve">    รวมวัสดุทำฝ้าเพดานไม้อัดยางหนา 6 มม.</t>
    </r>
    <r>
      <rPr>
        <sz val="12"/>
        <rFont val="Browallia New"/>
        <family val="2"/>
      </rPr>
      <t>(คร่าวไม้ยาง)</t>
    </r>
  </si>
  <si>
    <r>
      <t xml:space="preserve">    รวมวัสดุทำฝ้าเพดานไม้อัดยางหนา 6 มม.</t>
    </r>
    <r>
      <rPr>
        <sz val="12"/>
        <rFont val="Browallia New"/>
        <family val="2"/>
      </rPr>
      <t>(ไม้เนื้อแข็ง)</t>
    </r>
  </si>
  <si>
    <r>
      <t xml:space="preserve">    รวมวัสดุทำฝ้าเพดานไม้อัดสักหนา 4 มม.</t>
    </r>
    <r>
      <rPr>
        <sz val="12"/>
        <rFont val="Browallia New"/>
        <family val="2"/>
      </rPr>
      <t>(คร่าวไม้ยาง)</t>
    </r>
  </si>
  <si>
    <r>
      <t xml:space="preserve">    รวมวัสดุทำฝ้าเพดานไม้อัดสักหนา 4 มม.</t>
    </r>
    <r>
      <rPr>
        <sz val="12"/>
        <rFont val="Browallia New"/>
        <family val="2"/>
      </rPr>
      <t>(ไม้เนื้อแข็ง)</t>
    </r>
  </si>
  <si>
    <r>
      <t xml:space="preserve">    รวมวัสดุทำฝ้าเพดานไม้อัดสักหนา 6 มม.</t>
    </r>
    <r>
      <rPr>
        <sz val="12"/>
        <rFont val="Browallia New"/>
        <family val="2"/>
      </rPr>
      <t>(คร่าวไม้ยาง)</t>
    </r>
  </si>
  <si>
    <r>
      <t xml:space="preserve">    รวมวัสดุทำฝ้าเพดานไม้อัดสักหนา 6 มม.</t>
    </r>
    <r>
      <rPr>
        <sz val="12"/>
        <rFont val="Browallia New"/>
        <family val="2"/>
      </rPr>
      <t>(ไม้เนื้อแข็ง)</t>
    </r>
  </si>
  <si>
    <r>
      <t xml:space="preserve">  *</t>
    </r>
    <r>
      <rPr>
        <sz val="12"/>
        <rFont val="Browallia New"/>
        <family val="2"/>
      </rPr>
      <t>(เคร่าไม้ยาง)</t>
    </r>
  </si>
  <si>
    <r>
      <t xml:space="preserve">  *</t>
    </r>
    <r>
      <rPr>
        <sz val="12"/>
        <rFont val="Browallia New"/>
        <family val="2"/>
      </rPr>
      <t>(ไม้เนื้อแข็ง)</t>
    </r>
  </si>
  <si>
    <r>
      <t>รวมวัสดุฝ้าเพดานยิบซั่มบอร์ด</t>
    </r>
    <r>
      <rPr>
        <sz val="10"/>
        <rFont val="Browallia New"/>
        <family val="2"/>
      </rPr>
      <t>หนา 9 มม.มีอะลูมิเนียมฟอยล์</t>
    </r>
  </si>
  <si>
    <r>
      <t>รวมวัสดุฝ้าเพดานยิบซั่มบอร์ด</t>
    </r>
    <r>
      <rPr>
        <sz val="10"/>
        <rFont val="Browallia New"/>
        <family val="2"/>
      </rPr>
      <t>หนา 12 มม.มีอะลูมิเนียมฟอยล์</t>
    </r>
  </si>
  <si>
    <r>
      <t>รวมวัสดุฝ้าเพดานยิบซั่มบอร์ด</t>
    </r>
    <r>
      <rPr>
        <sz val="10"/>
        <rFont val="Browallia New"/>
        <family val="2"/>
      </rPr>
      <t>หนา 9 มม.ชนิดกันความชื้น</t>
    </r>
  </si>
  <si>
    <r>
      <t>รวมวัสดุฝ้าเพดานยิบซั่มบอร์ด</t>
    </r>
    <r>
      <rPr>
        <sz val="10"/>
        <rFont val="Browallia New"/>
        <family val="2"/>
      </rPr>
      <t>หนา 12 มม.ชนิดกันความชื้น</t>
    </r>
  </si>
  <si>
    <t xml:space="preserve">หน่วยงานเจ้าของโครงการ </t>
  </si>
  <si>
    <t>องค์การบริหารส่วนตำบลหนองโพ</t>
  </si>
  <si>
    <t>นางสาวสุนันทา อ่างหิรัญ</t>
  </si>
  <si>
    <t>ปลัด อบต.หนองโพ</t>
  </si>
  <si>
    <t>นายก อบต.หนองโพ</t>
  </si>
  <si>
    <t>-</t>
  </si>
  <si>
    <t>ผู้อำนวยการกองช่าง อบต.หนองโพ</t>
  </si>
  <si>
    <t>ท่อน</t>
  </si>
  <si>
    <t>-  คอนกรีตหยาบ 1:3:5</t>
  </si>
  <si>
    <t>-  คอนกรีตผสมเสร็จ 210 กก./ตร.ซม.</t>
  </si>
  <si>
    <t>-  เหล็กตะแกรงไวเมท ขนาด 0.20x0.20 หนา 4 มม.</t>
  </si>
  <si>
    <t>-  ทรายหยาบ</t>
  </si>
  <si>
    <t>-  ค่าแรงไม้แบบทั่วไป</t>
  </si>
  <si>
    <t>-  ไม้แบบทั่วไป อาคารชั้นเดียว</t>
  </si>
  <si>
    <t>-  เสาคอนกรีตแบบตีนช้าง ขนาด 6"x6"x7 ศอก</t>
  </si>
  <si>
    <t>-  เหล็กกลวงสี่เหลี่ยมผืนผ้า ขนาด 1 นิ้ว x 2 นิ้ว  หนา 2.3 มม.</t>
  </si>
  <si>
    <t>-  เหล็กกลวงสี่เหลี่ยมผืนผ้า ขนาด 1 ½  นิ้ว x 3 นิ้ว หนา 2.3 มม.</t>
  </si>
  <si>
    <t>-  กระเบื้องลอนคู่ขนาด 0.50x1.20 ม. หนา 5 มม.</t>
  </si>
  <si>
    <t>-  ค่าติดตั้งกระเบื้องหลังคาปั้นหยา</t>
  </si>
  <si>
    <t>-  ครอบตะเฆ่กระเบื้องลอนคู่</t>
  </si>
  <si>
    <t xml:space="preserve">-  น๊อตยิงหลังคา กระเบื้องลอนคู่ </t>
  </si>
  <si>
    <t>-  สีน้ำมันกันสนิม</t>
  </si>
  <si>
    <t>-  เชิงชายไม้สำเร็จรูป ขนาด 17 x 150 x 3050 มม.</t>
  </si>
  <si>
    <t>-  เชิงชายไม้สำเร็จรูป ขนาด 17 x 200 x 3050 มม.</t>
  </si>
  <si>
    <t>-  ฝ้ายิปซั่มบอร์ดหนา 9 มม. คร่าวโลหะชุบสังกะสี</t>
  </si>
  <si>
    <t>-  บัวฝ้าเพดานไม้ขนาด ½ นิ้ว x 2 นิ้ว</t>
  </si>
  <si>
    <t>-  ทาสีน้ำพลาสติก</t>
  </si>
  <si>
    <t>-  ผนังก่อคอนกรีตบล๊อก หนา 9 ซม.</t>
  </si>
  <si>
    <t>-  พื้นสำเร็จรูปท้องเรียบ LL 200 กก./ตร.ม.</t>
  </si>
  <si>
    <t>-  พื้นปูกระเบื้องเคลือบขนาด 16 นิ้ว x 16 นิ้ว</t>
  </si>
  <si>
    <t>ตัว</t>
  </si>
  <si>
    <t>ม.</t>
  </si>
  <si>
    <t>-  ขุดดิน</t>
  </si>
  <si>
    <t>-  ค่าแรงโครงสร้างเหล็กรูปพรรณ</t>
  </si>
  <si>
    <t>ปร.4</t>
  </si>
  <si>
    <t>แบบ ปร. 5</t>
  </si>
  <si>
    <t>กรอกข้อมูลโครงการ(เฉพาะช่องสีขาวตัวอักษรสีเขียวเท่านั้น)</t>
  </si>
  <si>
    <t>1.  ข้อมูลสภาวะน้ำมันราคาเฉลี่ย ณ ปัจจุบัน</t>
  </si>
  <si>
    <t>จังหวัดพื้นที่ฝนตกชุก</t>
  </si>
  <si>
    <t>น้ำมัน</t>
  </si>
  <si>
    <t>สภาพพื้นที่</t>
  </si>
  <si>
    <t>กำลังอัด</t>
  </si>
  <si>
    <t>ข้อมูลเหล็กเส้นกลม</t>
  </si>
  <si>
    <t>แปลงวันที่ตัวเลขเป็นข้อความ</t>
  </si>
  <si>
    <t>ดอกเบี้ยเงินกู้(MRL)</t>
  </si>
  <si>
    <t>VAT</t>
  </si>
  <si>
    <t>ฝนตกชุก 1</t>
  </si>
  <si>
    <t>ฝนตกชุก 2</t>
  </si>
  <si>
    <t>ขนาดเหล็ก(มม.)</t>
  </si>
  <si>
    <t>น้ำหนักเหล็ก(กก./ม.)</t>
  </si>
  <si>
    <t>น้ำหนักเหล็ก(กก./ท่อน)</t>
  </si>
  <si>
    <t>การเผื่อเหล็ก(%)</t>
  </si>
  <si>
    <t>คำสั่ง</t>
  </si>
  <si>
    <t>ราคาน้ำมันโซล่า ณ อำเภอเมืองเฉลี่ย</t>
  </si>
  <si>
    <t>น้ำมันคำนวณ</t>
  </si>
  <si>
    <t>อยู่ในท้องที่จังหวัด</t>
  </si>
  <si>
    <t>จังหวัดอื่นๆ</t>
  </si>
  <si>
    <t>d ดดดด bbbb</t>
  </si>
  <si>
    <t>2.  ข้อมูลทั่วไป</t>
  </si>
  <si>
    <t>วันที่ประมาณราคา</t>
  </si>
  <si>
    <t>ชื่อโครงการ</t>
  </si>
  <si>
    <t>ชื่อองค์กรปกครองส่วนท้องถิ่น</t>
  </si>
  <si>
    <t>เหล็กเสริม คสล.</t>
  </si>
  <si>
    <t>ความกว้างของถนน</t>
  </si>
  <si>
    <t>ความหนาของถนน</t>
  </si>
  <si>
    <t>ชื่อสายทาง</t>
  </si>
  <si>
    <t>WIRE MESH</t>
  </si>
  <si>
    <t>มี</t>
  </si>
  <si>
    <t>เหล็กเส้นกลม</t>
  </si>
  <si>
    <t>ไม่มี</t>
  </si>
  <si>
    <t>แบบ  เลขที่แบบ</t>
  </si>
  <si>
    <t>เหล็กข้ออ้อย</t>
  </si>
  <si>
    <t>3.  ข้อมูลรายละเอียดแบบก่อสร้าง</t>
  </si>
  <si>
    <t>ขนาดเหล็กExp</t>
  </si>
  <si>
    <t>ขนาดเหล็กCon</t>
  </si>
  <si>
    <t>มีปริมาตรดินขุด</t>
  </si>
  <si>
    <t>เหล็กเสริม</t>
  </si>
  <si>
    <t>3.2.1</t>
  </si>
  <si>
    <t>ชนิดเหล็กเสริมคอนกรีต</t>
  </si>
  <si>
    <t>3.2.2</t>
  </si>
  <si>
    <t>ขนาด  Ø  เหล็กเสริมคอนกรีต</t>
  </si>
  <si>
    <t>มม.</t>
  </si>
  <si>
    <t>3.2.3</t>
  </si>
  <si>
    <t>ระยะห่าง(Spacing) เหล็กตะแกรงตามขวาง</t>
  </si>
  <si>
    <t>3.2.4</t>
  </si>
  <si>
    <t>ระยะห่าง(Spacing) เหล็กตะแกรงตามยาว</t>
  </si>
  <si>
    <t>รอยต่อคอนกรีต</t>
  </si>
  <si>
    <t>3.3.1</t>
  </si>
  <si>
    <t>รอยต่อตามยาว(Longitudinal  Joint)</t>
  </si>
  <si>
    <t xml:space="preserve"> -</t>
  </si>
  <si>
    <t>ความกว้างของรอยต่อ</t>
  </si>
  <si>
    <t>ซม.</t>
  </si>
  <si>
    <t>ความลึกของรอยต่อ</t>
  </si>
  <si>
    <t>ความยาวเหล็กต่อท่อน(Tie  bar)</t>
  </si>
  <si>
    <t>ขนาดเหล็กเสริม  Tie  bar  (เหล็กข้ออ้อย)</t>
  </si>
  <si>
    <t>ระยะห่าง(Spacing  of  tie  bar)</t>
  </si>
  <si>
    <t>3.3.2</t>
  </si>
  <si>
    <t>รอยต่อเพื่อการขยายตัวหรือรอยต่อตัดขาด(Expansion  Joint)</t>
  </si>
  <si>
    <t>ระยะรอยต่อเพื่อการขยายตัว</t>
  </si>
  <si>
    <t>ความยาวเหล็กต่อท่อน(Dowel  bar)</t>
  </si>
  <si>
    <t>ขนาดเหล็กเสริม  Dowel  bar  (เหล็กเส้นกลม)</t>
  </si>
  <si>
    <t>ระยะห่าง(Spacing  of  dowel  bar)</t>
  </si>
  <si>
    <t>3.3.3</t>
  </si>
  <si>
    <t>รอยต่อเพื่อการหดตัว(Contraction  Joint)</t>
  </si>
  <si>
    <t>ระยะรอยต่อเพื่อการหดตัว</t>
  </si>
  <si>
    <t>4.  ข้อมูลราคากลาง/ประมาณราคา</t>
  </si>
  <si>
    <t>เลขที่คำสั่งในการกำหนดราคากลาง</t>
  </si>
  <si>
    <t>วันที่ออกคำสั่งในการกำหนดราคากลาง</t>
  </si>
  <si>
    <t>วันที่ประมาณราคา/คำนวณราคากลาง</t>
  </si>
  <si>
    <t>5.  ข้อมูลคำนวน Factor F</t>
  </si>
  <si>
    <t>เงินล่วงหน้าจ่าย</t>
  </si>
  <si>
    <t>เงินประกันผลงานหัก</t>
  </si>
  <si>
    <t>ภาษีมูลค่าเพิ่ม</t>
  </si>
  <si>
    <t>นายรัชภูมิ ศรีเพ็ง</t>
  </si>
  <si>
    <t>นายสุพจน์ ชูพันธ์</t>
  </si>
  <si>
    <t>นายณรงค์ ภักดีสุข</t>
  </si>
  <si>
    <t>นายกรพิพัฒน์ จิ๋วสวัสดิ์</t>
  </si>
  <si>
    <t>นายอุทัย ศิริโสม</t>
  </si>
  <si>
    <t>นายนิวัฒน์ ภาสะฐิติ</t>
  </si>
  <si>
    <t>นายกฤษฎา สว่างวัต</t>
  </si>
  <si>
    <t>กลุ่มงาน/งาน</t>
  </si>
  <si>
    <t>1/2560   1  สิงหาคม 2560</t>
  </si>
  <si>
    <t>กองช่างองค์การบริหารส่วนตำบลหนองโพ</t>
  </si>
  <si>
    <t>นายช่างโยธา อบต.หนองโพ</t>
  </si>
  <si>
    <t>ตำบลหนองโพ อำเภอตาคลี  จังหวัดนครสวรรค์</t>
  </si>
  <si>
    <t>บริเวณศาลาอเนกประสงค์หมู่ที่ 8</t>
  </si>
  <si>
    <t xml:space="preserve">ก่อสร้างศาลานั่งพักริมทางภายในหมู่บ้านหมู่ที่ 8 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</si>
</sst>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.0000_);_(* \(#,##0.0000\);_(* &quot;-&quot;??_);_(@_)"/>
    <numFmt numFmtId="193" formatCode="_-* #,##0.0000_-;\-* #,##0.0000_-;_-* &quot;-&quot;??_-;_-@_-"/>
    <numFmt numFmtId="194" formatCode="0.0000"/>
    <numFmt numFmtId="195" formatCode="_(* #,##0.000000_);_(* \(#,##0.000000\);_(* &quot;-&quot;??_);_(@_)"/>
    <numFmt numFmtId="196" formatCode="_-* #,##0.00000_-;\-* #,##0.00000_-;_-* &quot;-&quot;??_-;_-@_-"/>
    <numFmt numFmtId="197" formatCode="_(* #,##0_);_(* \(#,##0\);_(* &quot;-&quot;??_);_(@_)"/>
    <numFmt numFmtId="198" formatCode="General_)"/>
    <numFmt numFmtId="199" formatCode="#,##0.000000&quot; &quot;"/>
    <numFmt numFmtId="200" formatCode="dd\-mm\-yy"/>
    <numFmt numFmtId="201" formatCode="#,###&quot;   &quot;"/>
    <numFmt numFmtId="202" formatCode="&quot;฿&quot;\t#,##0_);\(&quot;฿&quot;\t#,##0\)"/>
    <numFmt numFmtId="203" formatCode="\t0.00E+00"/>
    <numFmt numFmtId="204" formatCode="#,##0.0_);\(#,##0.0\)"/>
    <numFmt numFmtId="205" formatCode="_(&quot;$&quot;* #,##0.000_);_(&quot;$&quot;* \(#,##0.000\);_(&quot;$&quot;* &quot;-&quot;??_);_(@_)"/>
    <numFmt numFmtId="206" formatCode="0.0&quot;  &quot;"/>
    <numFmt numFmtId="207" formatCode="_-* #,##0.00000_-;\-* #,##0.00000_-;_-* &quot;-&quot;?????_-;_-@_-"/>
    <numFmt numFmtId="208" formatCode="m/d/yy\ hh:mm"/>
    <numFmt numFmtId="209" formatCode="_(&quot;$&quot;* #,##0.0000_);_(&quot;$&quot;* \(#,##0.0000\);_(&quot;$&quot;* &quot;-&quot;??_);_(@_)"/>
    <numFmt numFmtId="210" formatCode="_-* #,##0_-;\-* #,##0_-;_-* &quot;-&quot;??_-;_-@_-"/>
    <numFmt numFmtId="211" formatCode="_-* #,##0.000_-;\-* #,##0.000_-;_-* &quot;-&quot;??_-;_-@_-"/>
    <numFmt numFmtId="212" formatCode="0.0"/>
    <numFmt numFmtId="213" formatCode="_-* #,##0.0000_-;\-* #,##0.0000_-;_-* &quot;-&quot;_-;_-@_-"/>
    <numFmt numFmtId="214" formatCode="#,###&quot;  &quot;"/>
    <numFmt numFmtId="215" formatCode="0.00\ &quot;%&quot;"/>
    <numFmt numFmtId="216" formatCode="_(* #,##0.000_);_(* \(#,##0.000\);_(* &quot;-&quot;??_);_(@_)"/>
    <numFmt numFmtId="217" formatCode="_-* #,##0.0_-;\-* #,##0.0_-;_-* &quot;-&quot;??_-;_-@_-"/>
    <numFmt numFmtId="218" formatCode="0.000"/>
    <numFmt numFmtId="219" formatCode="d\ ดดดด\ bbbb"/>
    <numFmt numFmtId="220" formatCode="[$-107041E]d\ mmmm\ yyyy;@"/>
    <numFmt numFmtId="221" formatCode="[$-1070000]d/m/yy;@"/>
  </numFmts>
  <fonts count="151">
    <font>
      <sz val="10"/>
      <name val="Arial"/>
      <family val="0"/>
    </font>
    <font>
      <sz val="16"/>
      <color indexed="8"/>
      <name val="AngsanaUPC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4"/>
      <name val="BrowalliaUPC"/>
      <family val="2"/>
    </font>
    <font>
      <b/>
      <sz val="14"/>
      <name val="BrowalliaUPC"/>
      <family val="2"/>
    </font>
    <font>
      <sz val="14"/>
      <color indexed="10"/>
      <name val="BrowalliaUPC"/>
      <family val="2"/>
    </font>
    <font>
      <sz val="14"/>
      <color indexed="8"/>
      <name val="BrowalliaUPC"/>
      <family val="2"/>
    </font>
    <font>
      <sz val="14"/>
      <color indexed="9"/>
      <name val="BrowalliaUPC"/>
      <family val="2"/>
    </font>
    <font>
      <sz val="14"/>
      <color indexed="12"/>
      <name val="BrowalliaUPC"/>
      <family val="2"/>
    </font>
    <font>
      <b/>
      <sz val="14"/>
      <color indexed="10"/>
      <name val="BrowalliaUPC"/>
      <family val="2"/>
    </font>
    <font>
      <sz val="14"/>
      <color indexed="43"/>
      <name val="BrowalliaUPC"/>
      <family val="2"/>
    </font>
    <font>
      <b/>
      <sz val="14"/>
      <color indexed="9"/>
      <name val="BrowalliaUPC"/>
      <family val="2"/>
    </font>
    <font>
      <b/>
      <sz val="14"/>
      <color indexed="45"/>
      <name val="BrowalliaUPC"/>
      <family val="2"/>
    </font>
    <font>
      <sz val="11"/>
      <name val="BrowalliaUPC"/>
      <family val="2"/>
    </font>
    <font>
      <sz val="11"/>
      <name val="Times New Roman"/>
      <family val="1"/>
    </font>
    <font>
      <sz val="14"/>
      <color indexed="8"/>
      <name val="Browallia New"/>
      <family val="2"/>
    </font>
    <font>
      <b/>
      <sz val="14"/>
      <color indexed="12"/>
      <name val="Browallia New"/>
      <family val="2"/>
    </font>
    <font>
      <sz val="14"/>
      <name val="Browallia New"/>
      <family val="2"/>
    </font>
    <font>
      <sz val="14"/>
      <color indexed="10"/>
      <name val="Browallia New"/>
      <family val="2"/>
    </font>
    <font>
      <b/>
      <sz val="16"/>
      <name val="BrowalliaUPC"/>
      <family val="2"/>
    </font>
    <font>
      <b/>
      <sz val="16"/>
      <name val="Browallia New"/>
      <family val="2"/>
    </font>
    <font>
      <sz val="14"/>
      <name val="Calibri"/>
      <family val="2"/>
    </font>
    <font>
      <sz val="12"/>
      <name val="Calibri"/>
      <family val="2"/>
    </font>
    <font>
      <sz val="19.6"/>
      <name val="BrowalliaUPC"/>
      <family val="2"/>
    </font>
    <font>
      <u val="single"/>
      <sz val="14"/>
      <name val="Browallia New"/>
      <family val="2"/>
    </font>
    <font>
      <u val="single"/>
      <sz val="14"/>
      <color indexed="10"/>
      <name val="Browallia New"/>
      <family val="2"/>
    </font>
    <font>
      <sz val="14"/>
      <name val="AngsanaUPC"/>
      <family val="0"/>
    </font>
    <font>
      <sz val="14"/>
      <name val="SV Rojchana"/>
      <family val="0"/>
    </font>
    <font>
      <sz val="10"/>
      <name val="Helv"/>
      <family val="2"/>
    </font>
    <font>
      <sz val="16"/>
      <name val="DilleniaUPC"/>
      <family val="1"/>
    </font>
    <font>
      <sz val="11"/>
      <name val="?? ?????"/>
      <family val="3"/>
    </font>
    <font>
      <sz val="11"/>
      <name val="??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12"/>
      <name val="Times New Roman"/>
      <family val="1"/>
    </font>
    <font>
      <sz val="12"/>
      <name val="????"/>
      <family val="0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sz val="14"/>
      <name val="Cordia New"/>
      <family val="2"/>
    </font>
    <font>
      <b/>
      <i/>
      <sz val="18"/>
      <color indexed="28"/>
      <name val="AngsanaUPC"/>
      <family val="1"/>
    </font>
    <font>
      <b/>
      <sz val="8"/>
      <name val="Tahoma"/>
      <family val="2"/>
    </font>
    <font>
      <sz val="8"/>
      <name val="Tahoma"/>
      <family val="2"/>
    </font>
    <font>
      <sz val="16"/>
      <name val="EucrosiaUPC"/>
      <family val="1"/>
    </font>
    <font>
      <b/>
      <sz val="16"/>
      <name val="EucrosiaUPC"/>
      <family val="1"/>
    </font>
    <font>
      <b/>
      <sz val="14"/>
      <name val="Browallia New"/>
      <family val="2"/>
    </font>
    <font>
      <b/>
      <sz val="17"/>
      <name val="Browallia New"/>
      <family val="2"/>
    </font>
    <font>
      <sz val="13"/>
      <name val="Browallia New"/>
      <family val="2"/>
    </font>
    <font>
      <vertAlign val="subscript"/>
      <sz val="14"/>
      <name val="Browallia New"/>
      <family val="2"/>
    </font>
    <font>
      <b/>
      <sz val="15"/>
      <name val="Browallia New"/>
      <family val="2"/>
    </font>
    <font>
      <b/>
      <sz val="13"/>
      <name val="Browallia New"/>
      <family val="2"/>
    </font>
    <font>
      <b/>
      <sz val="20"/>
      <name val="Browallia New"/>
      <family val="2"/>
    </font>
    <font>
      <b/>
      <sz val="12"/>
      <name val="Browallia New"/>
      <family val="2"/>
    </font>
    <font>
      <sz val="12"/>
      <name val="Browallia New"/>
      <family val="2"/>
    </font>
    <font>
      <sz val="15"/>
      <name val="Browallia New"/>
      <family val="2"/>
    </font>
    <font>
      <sz val="11"/>
      <name val="Browallia New"/>
      <family val="2"/>
    </font>
    <font>
      <sz val="10"/>
      <name val="Browallia New"/>
      <family val="2"/>
    </font>
    <font>
      <b/>
      <sz val="11"/>
      <name val="Browallia New"/>
      <family val="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TH SarabunPSK"/>
      <family val="2"/>
    </font>
    <font>
      <sz val="15"/>
      <name val="Angsana New"/>
      <family val="1"/>
    </font>
    <font>
      <sz val="16"/>
      <name val="TH SarabunPSK"/>
      <family val="2"/>
    </font>
    <font>
      <b/>
      <i/>
      <sz val="16"/>
      <name val="TH SarabunPSK"/>
      <family val="2"/>
    </font>
    <font>
      <b/>
      <sz val="16"/>
      <name val="TH SarabunPSK"/>
      <family val="2"/>
    </font>
    <font>
      <sz val="16"/>
      <color indexed="60"/>
      <name val="TH SarabunPSK"/>
      <family val="2"/>
    </font>
    <font>
      <b/>
      <sz val="16"/>
      <color indexed="60"/>
      <name val="TH SarabunPSK"/>
      <family val="2"/>
    </font>
    <font>
      <sz val="16"/>
      <color indexed="21"/>
      <name val="TH SarabunPSK"/>
      <family val="2"/>
    </font>
    <font>
      <sz val="16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8"/>
      <name val="TH SarabunPSK"/>
      <family val="2"/>
    </font>
    <font>
      <sz val="16"/>
      <color indexed="57"/>
      <name val="TH SarabunPSK"/>
      <family val="2"/>
    </font>
    <font>
      <sz val="16"/>
      <name val="Symbol"/>
      <family val="1"/>
    </font>
    <font>
      <sz val="16"/>
      <color indexed="17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17"/>
      <name val="TH SarabunPSK"/>
      <family val="2"/>
    </font>
    <font>
      <sz val="16"/>
      <color indexed="9"/>
      <name val="AngsanaUPC"/>
      <family val="2"/>
    </font>
    <font>
      <u val="single"/>
      <sz val="10"/>
      <color indexed="20"/>
      <name val="Arial"/>
      <family val="2"/>
    </font>
    <font>
      <b/>
      <sz val="16"/>
      <color indexed="52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8"/>
      <color indexed="56"/>
      <name val="Tahoma"/>
      <family val="2"/>
    </font>
    <font>
      <b/>
      <sz val="16"/>
      <color indexed="9"/>
      <name val="AngsanaUPC"/>
      <family val="2"/>
    </font>
    <font>
      <sz val="16"/>
      <color indexed="52"/>
      <name val="AngsanaUPC"/>
      <family val="2"/>
    </font>
    <font>
      <sz val="16"/>
      <color indexed="17"/>
      <name val="AngsanaUPC"/>
      <family val="2"/>
    </font>
    <font>
      <sz val="16"/>
      <color indexed="62"/>
      <name val="AngsanaUPC"/>
      <family val="2"/>
    </font>
    <font>
      <sz val="16"/>
      <color indexed="60"/>
      <name val="AngsanaUPC"/>
      <family val="2"/>
    </font>
    <font>
      <b/>
      <sz val="16"/>
      <color indexed="8"/>
      <name val="AngsanaUPC"/>
      <family val="2"/>
    </font>
    <font>
      <sz val="16"/>
      <color indexed="20"/>
      <name val="AngsanaUPC"/>
      <family val="2"/>
    </font>
    <font>
      <b/>
      <sz val="16"/>
      <color indexed="63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b/>
      <sz val="14"/>
      <color indexed="8"/>
      <name val="Browallia New"/>
      <family val="2"/>
    </font>
    <font>
      <b/>
      <sz val="14"/>
      <color indexed="10"/>
      <name val="Browallia New"/>
      <family val="2"/>
    </font>
    <font>
      <b/>
      <u val="single"/>
      <sz val="14"/>
      <color indexed="8"/>
      <name val="Browallia New"/>
      <family val="2"/>
    </font>
    <font>
      <sz val="14"/>
      <color indexed="26"/>
      <name val="BrowalliaUPC"/>
      <family val="2"/>
    </font>
    <font>
      <b/>
      <i/>
      <sz val="14"/>
      <color indexed="22"/>
      <name val="BrowalliaUPC"/>
      <family val="2"/>
    </font>
    <font>
      <sz val="14"/>
      <color indexed="17"/>
      <name val="Browallia New"/>
      <family val="2"/>
    </font>
    <font>
      <sz val="16"/>
      <color indexed="10"/>
      <name val="EucrosiaUPC"/>
      <family val="1"/>
    </font>
    <font>
      <b/>
      <sz val="12"/>
      <color indexed="10"/>
      <name val="Browallia New"/>
      <family val="2"/>
    </font>
    <font>
      <sz val="15"/>
      <color indexed="10"/>
      <name val="Browallia New"/>
      <family val="2"/>
    </font>
    <font>
      <sz val="16"/>
      <color indexed="8"/>
      <name val="TH SarabunPSK"/>
      <family val="2"/>
    </font>
    <font>
      <sz val="16"/>
      <color indexed="11"/>
      <name val="TH SarabunPSK"/>
      <family val="2"/>
    </font>
    <font>
      <b/>
      <sz val="20"/>
      <color indexed="13"/>
      <name val="TH SarabunPSK"/>
      <family val="2"/>
    </font>
    <font>
      <sz val="14"/>
      <color indexed="9"/>
      <name val="Browallia New"/>
      <family val="2"/>
    </font>
    <font>
      <sz val="10"/>
      <color indexed="22"/>
      <name val="Arial"/>
      <family val="2"/>
    </font>
    <font>
      <b/>
      <sz val="16"/>
      <color indexed="8"/>
      <name val="Browallia New"/>
      <family val="2"/>
    </font>
    <font>
      <b/>
      <i/>
      <sz val="14"/>
      <color indexed="17"/>
      <name val="Browallia New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u val="single"/>
      <sz val="10"/>
      <color theme="11"/>
      <name val="Arial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4"/>
      <color rgb="FFFF0000"/>
      <name val="BrowalliaUPC"/>
      <family val="2"/>
    </font>
    <font>
      <sz val="14"/>
      <color theme="1"/>
      <name val="Browallia New"/>
      <family val="2"/>
    </font>
    <font>
      <b/>
      <sz val="14"/>
      <color theme="1"/>
      <name val="Browallia New"/>
      <family val="2"/>
    </font>
    <font>
      <b/>
      <sz val="14"/>
      <color rgb="FFFF0000"/>
      <name val="Browallia New"/>
      <family val="2"/>
    </font>
    <font>
      <b/>
      <u val="single"/>
      <sz val="14"/>
      <color theme="1"/>
      <name val="Browallia New"/>
      <family val="2"/>
    </font>
    <font>
      <sz val="14"/>
      <color theme="2"/>
      <name val="BrowalliaUPC"/>
      <family val="2"/>
    </font>
    <font>
      <b/>
      <i/>
      <sz val="14"/>
      <color theme="0" tint="-0.04997999966144562"/>
      <name val="BrowalliaUPC"/>
      <family val="2"/>
    </font>
    <font>
      <sz val="14"/>
      <color rgb="FF0000FF"/>
      <name val="BrowalliaUPC"/>
      <family val="2"/>
    </font>
    <font>
      <sz val="14"/>
      <color rgb="FFFF0000"/>
      <name val="Browallia New"/>
      <family val="2"/>
    </font>
    <font>
      <sz val="14"/>
      <color rgb="FF008000"/>
      <name val="Browallia New"/>
      <family val="2"/>
    </font>
    <font>
      <sz val="16"/>
      <color rgb="FFFF0000"/>
      <name val="EucrosiaUPC"/>
      <family val="1"/>
    </font>
    <font>
      <b/>
      <sz val="12"/>
      <color rgb="FFFF0000"/>
      <name val="Browallia New"/>
      <family val="2"/>
    </font>
    <font>
      <sz val="15"/>
      <color rgb="FFFF0000"/>
      <name val="Browallia New"/>
      <family val="2"/>
    </font>
    <font>
      <b/>
      <sz val="16"/>
      <color rgb="FF00B050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00CC00"/>
      <name val="TH SarabunPSK"/>
      <family val="2"/>
    </font>
    <font>
      <b/>
      <sz val="20"/>
      <color rgb="FFFFFF00"/>
      <name val="TH SarabunPSK"/>
      <family val="2"/>
    </font>
    <font>
      <sz val="14"/>
      <color theme="0"/>
      <name val="Browallia New"/>
      <family val="2"/>
    </font>
    <font>
      <sz val="10"/>
      <color theme="0" tint="-0.04997999966144562"/>
      <name val="Arial"/>
      <family val="2"/>
    </font>
    <font>
      <b/>
      <sz val="16"/>
      <color theme="1"/>
      <name val="Browallia New"/>
      <family val="2"/>
    </font>
    <font>
      <b/>
      <i/>
      <sz val="14"/>
      <color rgb="FF008000"/>
      <name val="Browallia New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99"/>
        <bgColor indexed="64"/>
      </patternFill>
    </fill>
  </fills>
  <borders count="12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>
        <color rgb="FF00B050"/>
      </left>
      <right/>
      <top/>
      <bottom/>
    </border>
    <border>
      <left/>
      <right style="thin">
        <color rgb="FF00B050"/>
      </right>
      <top/>
      <bottom/>
    </border>
    <border>
      <left style="thin">
        <color rgb="FF00B050"/>
      </left>
      <right/>
      <top/>
      <bottom style="thin">
        <color rgb="FF00B050"/>
      </bottom>
    </border>
    <border>
      <left/>
      <right/>
      <top/>
      <bottom style="thin">
        <color rgb="FF00B050"/>
      </bottom>
    </border>
    <border>
      <left/>
      <right style="thin">
        <color rgb="FF00B050"/>
      </right>
      <top/>
      <bottom style="thin">
        <color rgb="FF00B050"/>
      </bottom>
    </border>
    <border>
      <left/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double"/>
    </border>
    <border>
      <left style="thin"/>
      <right style="thin"/>
      <top style="double"/>
      <bottom style="hair"/>
    </border>
    <border>
      <left/>
      <right/>
      <top/>
      <bottom style="hair"/>
    </border>
    <border>
      <left/>
      <right/>
      <top/>
      <bottom style="double"/>
    </border>
    <border>
      <left style="thin"/>
      <right style="thin"/>
      <top style="double"/>
      <bottom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/>
      <right style="thin"/>
      <top style="double"/>
      <bottom style="hair"/>
    </border>
    <border>
      <left style="thin">
        <color rgb="FFFFC000"/>
      </left>
      <right/>
      <top/>
      <bottom/>
    </border>
    <border>
      <left/>
      <right style="thin">
        <color rgb="FFFFC000"/>
      </right>
      <top/>
      <bottom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 style="hair"/>
      <top/>
      <bottom/>
    </border>
    <border>
      <left style="hair"/>
      <right style="thin"/>
      <top/>
      <bottom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medium">
        <color indexed="33"/>
      </left>
      <right style="medium">
        <color indexed="33"/>
      </right>
      <top style="medium">
        <color indexed="33"/>
      </top>
      <bottom style="medium">
        <color indexed="33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</border>
    <border>
      <left style="thin">
        <color rgb="FFFFFF00"/>
      </left>
      <right style="thin">
        <color rgb="FFFFFF00"/>
      </right>
      <top style="thin">
        <color rgb="FFFFFF00"/>
      </top>
      <bottom/>
    </border>
    <border>
      <left/>
      <right/>
      <top/>
      <bottom style="thin">
        <color rgb="FFFFC000"/>
      </bottom>
    </border>
    <border>
      <left style="thin">
        <color rgb="FFFFC000"/>
      </left>
      <right/>
      <top/>
      <bottom style="thin">
        <color rgb="FFFFC000"/>
      </bottom>
    </border>
    <border>
      <left/>
      <right style="thin">
        <color rgb="FFFFC000"/>
      </right>
      <top/>
      <bottom style="thin">
        <color rgb="FFFFC000"/>
      </bottom>
    </border>
    <border>
      <left style="thin">
        <color rgb="FFFFC000"/>
      </left>
      <right/>
      <top style="thin">
        <color rgb="FFFFC000"/>
      </top>
      <bottom/>
    </border>
    <border>
      <left/>
      <right/>
      <top style="thin">
        <color rgb="FFFFC000"/>
      </top>
      <bottom/>
    </border>
    <border>
      <left/>
      <right style="thin">
        <color rgb="FFFFC000"/>
      </right>
      <top style="thin">
        <color rgb="FFFFC000"/>
      </top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 style="thin">
        <color rgb="FFFFFF00"/>
      </left>
      <right/>
      <top style="thin">
        <color rgb="FFFFFF00"/>
      </top>
      <bottom style="thin">
        <color rgb="FFFFFF00"/>
      </bottom>
    </border>
    <border>
      <left/>
      <right style="thin">
        <color rgb="FFFFFF00"/>
      </right>
      <top style="thin">
        <color rgb="FFFFFF00"/>
      </top>
      <bottom style="thin">
        <color rgb="FFFFFF00"/>
      </bottom>
    </border>
    <border>
      <left/>
      <right/>
      <top style="thin">
        <color rgb="FFFFFF00"/>
      </top>
      <bottom style="thin">
        <color rgb="FFFFFF00"/>
      </bottom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 style="thin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hair"/>
      <bottom style="thin"/>
    </border>
    <border>
      <left/>
      <right/>
      <top style="thin"/>
      <bottom/>
    </border>
    <border>
      <left/>
      <right/>
      <top style="double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>
        <color rgb="FFFF0000"/>
      </top>
      <bottom style="thin">
        <color rgb="FFFF000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/>
      <right/>
      <top style="thin">
        <color rgb="FF00B050"/>
      </top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198" fontId="27" fillId="0" borderId="0" applyFont="0" applyFill="0" applyBorder="0" applyAlignment="0" applyProtection="0"/>
    <xf numFmtId="199" fontId="27" fillId="0" borderId="0" applyFont="0" applyFill="0" applyBorder="0" applyAlignment="0" applyProtection="0"/>
    <xf numFmtId="200" fontId="27" fillId="0" borderId="0" applyFont="0" applyFill="0" applyBorder="0" applyAlignment="0" applyProtection="0"/>
    <xf numFmtId="201" fontId="27" fillId="0" borderId="0" applyFont="0" applyFill="0" applyBorder="0" applyAlignment="0" applyProtection="0"/>
    <xf numFmtId="4" fontId="29" fillId="0" borderId="0" applyFont="0" applyFill="0" applyBorder="0" applyAlignment="0" applyProtection="0"/>
    <xf numFmtId="202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201" fontId="27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9" fontId="0" fillId="2" borderId="0">
      <alignment/>
      <protection/>
    </xf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0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34" fillId="21" borderId="1">
      <alignment horizontal="centerContinuous" vertical="top"/>
      <protection/>
    </xf>
    <xf numFmtId="0" fontId="0" fillId="0" borderId="0" applyFill="0" applyBorder="0" applyAlignment="0">
      <protection/>
    </xf>
    <xf numFmtId="204" fontId="29" fillId="0" borderId="0" applyFill="0" applyBorder="0" applyAlignment="0">
      <protection/>
    </xf>
    <xf numFmtId="0" fontId="35" fillId="0" borderId="0" applyFill="0" applyBorder="0" applyAlignment="0">
      <protection/>
    </xf>
    <xf numFmtId="0" fontId="36" fillId="0" borderId="0" applyFill="0" applyBorder="0" applyAlignment="0">
      <protection/>
    </xf>
    <xf numFmtId="0" fontId="36" fillId="0" borderId="0" applyFill="0" applyBorder="0" applyAlignment="0">
      <protection/>
    </xf>
    <xf numFmtId="205" fontId="27" fillId="0" borderId="0" applyFill="0" applyBorder="0" applyAlignment="0">
      <protection/>
    </xf>
    <xf numFmtId="206" fontId="30" fillId="0" borderId="0" applyFill="0" applyBorder="0" applyAlignment="0">
      <protection/>
    </xf>
    <xf numFmtId="204" fontId="29" fillId="0" borderId="0" applyFill="0" applyBorder="0" applyAlignment="0">
      <protection/>
    </xf>
    <xf numFmtId="205" fontId="27" fillId="0" borderId="0" applyFont="0" applyFill="0" applyBorder="0" applyAlignment="0" applyProtection="0"/>
    <xf numFmtId="0" fontId="34" fillId="21" borderId="1">
      <alignment horizontal="centerContinuous" vertical="top"/>
      <protection/>
    </xf>
    <xf numFmtId="204" fontId="29" fillId="0" borderId="0" applyFont="0" applyFill="0" applyBorder="0" applyAlignment="0" applyProtection="0"/>
    <xf numFmtId="14" fontId="37" fillId="0" borderId="0" applyFill="0" applyBorder="0" applyAlignment="0">
      <protection/>
    </xf>
    <xf numFmtId="15" fontId="38" fillId="22" borderId="0">
      <alignment horizontal="centerContinuous"/>
      <protection/>
    </xf>
    <xf numFmtId="205" fontId="27" fillId="0" borderId="0" applyFill="0" applyBorder="0" applyAlignment="0">
      <protection/>
    </xf>
    <xf numFmtId="204" fontId="29" fillId="0" borderId="0" applyFill="0" applyBorder="0" applyAlignment="0">
      <protection/>
    </xf>
    <xf numFmtId="205" fontId="27" fillId="0" borderId="0" applyFill="0" applyBorder="0" applyAlignment="0">
      <protection/>
    </xf>
    <xf numFmtId="206" fontId="30" fillId="0" borderId="0" applyFill="0" applyBorder="0" applyAlignment="0">
      <protection/>
    </xf>
    <xf numFmtId="204" fontId="29" fillId="0" borderId="0" applyFill="0" applyBorder="0" applyAlignment="0">
      <protection/>
    </xf>
    <xf numFmtId="0" fontId="112" fillId="0" borderId="0" applyNumberFormat="0" applyFill="0" applyBorder="0" applyAlignment="0" applyProtection="0"/>
    <xf numFmtId="38" fontId="2" fillId="21" borderId="0" applyNumberFormat="0" applyBorder="0" applyAlignment="0" applyProtection="0"/>
    <xf numFmtId="0" fontId="39" fillId="0" borderId="2" applyNumberFormat="0" applyAlignment="0" applyProtection="0"/>
    <xf numFmtId="0" fontId="39" fillId="0" borderId="3">
      <alignment horizontal="left" vertical="center"/>
      <protection/>
    </xf>
    <xf numFmtId="0" fontId="3" fillId="0" borderId="0" applyNumberFormat="0" applyFill="0" applyBorder="0" applyAlignment="0" applyProtection="0"/>
    <xf numFmtId="10" fontId="2" fillId="23" borderId="4" applyNumberFormat="0" applyBorder="0" applyAlignment="0" applyProtection="0"/>
    <xf numFmtId="205" fontId="27" fillId="0" borderId="0" applyFill="0" applyBorder="0" applyAlignment="0">
      <protection/>
    </xf>
    <xf numFmtId="204" fontId="29" fillId="0" borderId="0" applyFill="0" applyBorder="0" applyAlignment="0">
      <protection/>
    </xf>
    <xf numFmtId="205" fontId="27" fillId="0" borderId="0" applyFill="0" applyBorder="0" applyAlignment="0">
      <protection/>
    </xf>
    <xf numFmtId="206" fontId="30" fillId="0" borderId="0" applyFill="0" applyBorder="0" applyAlignment="0">
      <protection/>
    </xf>
    <xf numFmtId="204" fontId="29" fillId="0" borderId="0" applyFill="0" applyBorder="0" applyAlignment="0">
      <protection/>
    </xf>
    <xf numFmtId="207" fontId="27" fillId="0" borderId="0">
      <alignment/>
      <protection/>
    </xf>
    <xf numFmtId="0" fontId="40" fillId="0" borderId="0">
      <alignment/>
      <protection/>
    </xf>
    <xf numFmtId="0" fontId="40" fillId="0" borderId="0" applyFont="0" applyFill="0" applyBorder="0" applyAlignment="0" applyProtection="0"/>
    <xf numFmtId="205" fontId="27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0" fontId="0" fillId="0" borderId="0" applyFont="0" applyFill="0" applyBorder="0" applyAlignment="0" applyProtection="0"/>
    <xf numFmtId="205" fontId="27" fillId="0" borderId="0" applyFill="0" applyBorder="0" applyAlignment="0">
      <protection/>
    </xf>
    <xf numFmtId="204" fontId="29" fillId="0" borderId="0" applyFill="0" applyBorder="0" applyAlignment="0">
      <protection/>
    </xf>
    <xf numFmtId="205" fontId="27" fillId="0" borderId="0" applyFill="0" applyBorder="0" applyAlignment="0">
      <protection/>
    </xf>
    <xf numFmtId="206" fontId="30" fillId="0" borderId="0" applyFill="0" applyBorder="0" applyAlignment="0">
      <protection/>
    </xf>
    <xf numFmtId="204" fontId="29" fillId="0" borderId="0" applyFill="0" applyBorder="0" applyAlignment="0">
      <protection/>
    </xf>
    <xf numFmtId="0" fontId="41" fillId="2" borderId="0">
      <alignment/>
      <protection/>
    </xf>
    <xf numFmtId="49" fontId="37" fillId="0" borderId="0" applyFill="0" applyBorder="0" applyAlignment="0">
      <protection/>
    </xf>
    <xf numFmtId="0" fontId="36" fillId="0" borderId="0" applyFill="0" applyBorder="0" applyAlignment="0">
      <protection/>
    </xf>
    <xf numFmtId="0" fontId="36" fillId="0" borderId="0" applyFill="0" applyBorder="0" applyAlignment="0">
      <protection/>
    </xf>
    <xf numFmtId="208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0" fontId="113" fillId="24" borderId="5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25" borderId="6" applyNumberFormat="0" applyAlignment="0" applyProtection="0"/>
    <xf numFmtId="0" fontId="118" fillId="0" borderId="7" applyNumberFormat="0" applyFill="0" applyAlignment="0" applyProtection="0"/>
    <xf numFmtId="0" fontId="119" fillId="26" borderId="0" applyNumberFormat="0" applyBorder="0" applyAlignment="0" applyProtection="0"/>
    <xf numFmtId="0" fontId="27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20" fillId="27" borderId="5" applyNumberFormat="0" applyAlignment="0" applyProtection="0"/>
    <xf numFmtId="0" fontId="121" fillId="28" borderId="0" applyNumberFormat="0" applyBorder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22" fillId="0" borderId="8" applyNumberFormat="0" applyFill="0" applyAlignment="0" applyProtection="0"/>
    <xf numFmtId="0" fontId="123" fillId="29" borderId="0" applyNumberFormat="0" applyBorder="0" applyAlignment="0" applyProtection="0"/>
    <xf numFmtId="0" fontId="111" fillId="30" borderId="0" applyNumberFormat="0" applyBorder="0" applyAlignment="0" applyProtection="0"/>
    <xf numFmtId="0" fontId="111" fillId="31" borderId="0" applyNumberFormat="0" applyBorder="0" applyAlignment="0" applyProtection="0"/>
    <xf numFmtId="0" fontId="111" fillId="32" borderId="0" applyNumberFormat="0" applyBorder="0" applyAlignment="0" applyProtection="0"/>
    <xf numFmtId="0" fontId="111" fillId="33" borderId="0" applyNumberFormat="0" applyBorder="0" applyAlignment="0" applyProtection="0"/>
    <xf numFmtId="0" fontId="111" fillId="34" borderId="0" applyNumberFormat="0" applyBorder="0" applyAlignment="0" applyProtection="0"/>
    <xf numFmtId="0" fontId="111" fillId="35" borderId="0" applyNumberFormat="0" applyBorder="0" applyAlignment="0" applyProtection="0"/>
    <xf numFmtId="0" fontId="124" fillId="24" borderId="9" applyNumberFormat="0" applyAlignment="0" applyProtection="0"/>
    <xf numFmtId="0" fontId="0" fillId="36" borderId="10" applyNumberFormat="0" applyFont="0" applyAlignment="0" applyProtection="0"/>
    <xf numFmtId="0" fontId="125" fillId="0" borderId="11" applyNumberFormat="0" applyFill="0" applyAlignment="0" applyProtection="0"/>
    <xf numFmtId="0" fontId="126" fillId="0" borderId="12" applyNumberFormat="0" applyFill="0" applyAlignment="0" applyProtection="0"/>
    <xf numFmtId="0" fontId="127" fillId="0" borderId="13" applyNumberFormat="0" applyFill="0" applyAlignment="0" applyProtection="0"/>
    <xf numFmtId="0" fontId="127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4" fillId="37" borderId="0" xfId="0" applyFont="1" applyFill="1" applyBorder="1" applyAlignment="1">
      <alignment/>
    </xf>
    <xf numFmtId="192" fontId="4" fillId="37" borderId="0" xfId="98" applyNumberFormat="1" applyFont="1" applyFill="1" applyBorder="1" applyAlignment="1">
      <alignment/>
    </xf>
    <xf numFmtId="0" fontId="4" fillId="38" borderId="0" xfId="0" applyFont="1" applyFill="1" applyAlignment="1">
      <alignment/>
    </xf>
    <xf numFmtId="0" fontId="4" fillId="38" borderId="0" xfId="0" applyFont="1" applyFill="1" applyAlignment="1">
      <alignment horizontal="center"/>
    </xf>
    <xf numFmtId="195" fontId="4" fillId="38" borderId="0" xfId="0" applyNumberFormat="1" applyFont="1" applyFill="1" applyAlignment="1">
      <alignment/>
    </xf>
    <xf numFmtId="192" fontId="4" fillId="38" borderId="0" xfId="98" applyNumberFormat="1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5" fillId="39" borderId="1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/>
    </xf>
    <xf numFmtId="192" fontId="4" fillId="37" borderId="15" xfId="98" applyNumberFormat="1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3" fillId="2" borderId="0" xfId="70" applyFill="1" applyBorder="1" applyAlignment="1" applyProtection="1">
      <alignment horizontal="center"/>
      <protection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right"/>
    </xf>
    <xf numFmtId="0" fontId="8" fillId="38" borderId="0" xfId="0" applyFont="1" applyFill="1" applyAlignment="1" applyProtection="1">
      <alignment/>
      <protection hidden="1" locked="0"/>
    </xf>
    <xf numFmtId="0" fontId="8" fillId="38" borderId="0" xfId="0" applyFont="1" applyFill="1" applyAlignment="1" applyProtection="1">
      <alignment horizontal="right"/>
      <protection hidden="1" locked="0"/>
    </xf>
    <xf numFmtId="196" fontId="8" fillId="38" borderId="0" xfId="0" applyNumberFormat="1" applyFont="1" applyFill="1" applyAlignment="1" applyProtection="1">
      <alignment horizontal="right"/>
      <protection hidden="1" locked="0"/>
    </xf>
    <xf numFmtId="0" fontId="8" fillId="38" borderId="0" xfId="0" applyFont="1" applyFill="1" applyAlignment="1" applyProtection="1" quotePrefix="1">
      <alignment horizontal="right"/>
      <protection hidden="1" locked="0"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 applyProtection="1">
      <alignment horizontal="center"/>
      <protection hidden="1" locked="0"/>
    </xf>
    <xf numFmtId="197" fontId="8" fillId="38" borderId="0" xfId="98" applyNumberFormat="1" applyFont="1" applyFill="1" applyAlignment="1" applyProtection="1">
      <alignment horizontal="right"/>
      <protection hidden="1" locked="0"/>
    </xf>
    <xf numFmtId="197" fontId="8" fillId="38" borderId="0" xfId="98" applyNumberFormat="1" applyFont="1" applyFill="1" applyAlignment="1" applyProtection="1" quotePrefix="1">
      <alignment horizontal="right"/>
      <protection hidden="1" locked="0"/>
    </xf>
    <xf numFmtId="0" fontId="4" fillId="0" borderId="0" xfId="0" applyFont="1" applyFill="1" applyAlignment="1">
      <alignment/>
    </xf>
    <xf numFmtId="192" fontId="4" fillId="0" borderId="0" xfId="98" applyNumberFormat="1" applyFont="1" applyFill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92" fontId="4" fillId="0" borderId="0" xfId="98" applyNumberFormat="1" applyFont="1" applyFill="1" applyBorder="1" applyAlignment="1">
      <alignment/>
    </xf>
    <xf numFmtId="0" fontId="3" fillId="0" borderId="0" xfId="70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92" fontId="4" fillId="0" borderId="15" xfId="98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/>
      <protection hidden="1" locked="0"/>
    </xf>
    <xf numFmtId="0" fontId="4" fillId="0" borderId="0" xfId="0" applyFont="1" applyFill="1" applyAlignment="1" applyProtection="1">
      <alignment horizontal="right"/>
      <protection hidden="1" locked="0"/>
    </xf>
    <xf numFmtId="196" fontId="4" fillId="0" borderId="0" xfId="0" applyNumberFormat="1" applyFont="1" applyFill="1" applyAlignment="1" applyProtection="1">
      <alignment horizontal="right"/>
      <protection hidden="1" locked="0"/>
    </xf>
    <xf numFmtId="0" fontId="4" fillId="0" borderId="0" xfId="0" applyFont="1" applyFill="1" applyAlignment="1" applyProtection="1" quotePrefix="1">
      <alignment horizontal="right"/>
      <protection hidden="1" locked="0"/>
    </xf>
    <xf numFmtId="0" fontId="4" fillId="0" borderId="0" xfId="0" applyFont="1" applyFill="1" applyAlignment="1" applyProtection="1">
      <alignment horizontal="center"/>
      <protection hidden="1" locked="0"/>
    </xf>
    <xf numFmtId="197" fontId="4" fillId="0" borderId="0" xfId="98" applyNumberFormat="1" applyFont="1" applyFill="1" applyAlignment="1" applyProtection="1">
      <alignment horizontal="right"/>
      <protection hidden="1" locked="0"/>
    </xf>
    <xf numFmtId="197" fontId="4" fillId="0" borderId="0" xfId="98" applyNumberFormat="1" applyFont="1" applyFill="1" applyAlignment="1" applyProtection="1" quotePrefix="1">
      <alignment horizontal="right"/>
      <protection hidden="1" locked="0"/>
    </xf>
    <xf numFmtId="0" fontId="6" fillId="0" borderId="0" xfId="0" applyFont="1" applyFill="1" applyAlignment="1">
      <alignment/>
    </xf>
    <xf numFmtId="0" fontId="4" fillId="0" borderId="0" xfId="0" applyFont="1" applyFill="1" applyAlignment="1" applyProtection="1" quotePrefix="1">
      <alignment/>
      <protection hidden="1" locked="0"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 applyProtection="1" quotePrefix="1">
      <alignment horizontal="left"/>
      <protection hidden="1" locked="0"/>
    </xf>
    <xf numFmtId="0" fontId="4" fillId="0" borderId="0" xfId="0" applyFont="1" applyFill="1" applyAlignment="1" quotePrefix="1">
      <alignment horizontal="right"/>
    </xf>
    <xf numFmtId="192" fontId="4" fillId="0" borderId="0" xfId="98" applyNumberFormat="1" applyFont="1" applyFill="1" applyAlignment="1" applyProtection="1">
      <alignment/>
      <protection hidden="1" locked="0"/>
    </xf>
    <xf numFmtId="192" fontId="4" fillId="0" borderId="0" xfId="98" applyNumberFormat="1" applyFont="1" applyFill="1" applyAlignment="1" applyProtection="1">
      <alignment horizontal="center"/>
      <protection hidden="1" locked="0"/>
    </xf>
    <xf numFmtId="0" fontId="4" fillId="38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 applyProtection="1">
      <alignment/>
      <protection hidden="1" locked="0"/>
    </xf>
    <xf numFmtId="0" fontId="9" fillId="0" borderId="0" xfId="0" applyFont="1" applyFill="1" applyAlignment="1" applyProtection="1">
      <alignment horizontal="right"/>
      <protection hidden="1" locked="0"/>
    </xf>
    <xf numFmtId="0" fontId="9" fillId="0" borderId="0" xfId="0" applyFont="1" applyFill="1" applyAlignment="1">
      <alignment horizontal="center"/>
    </xf>
    <xf numFmtId="196" fontId="9" fillId="0" borderId="0" xfId="0" applyNumberFormat="1" applyFont="1" applyFill="1" applyAlignment="1" applyProtection="1">
      <alignment horizontal="right"/>
      <protection hidden="1" locked="0"/>
    </xf>
    <xf numFmtId="0" fontId="9" fillId="0" borderId="0" xfId="0" applyFont="1" applyFill="1" applyAlignment="1" applyProtection="1" quotePrefix="1">
      <alignment horizontal="right"/>
      <protection hidden="1" locked="0"/>
    </xf>
    <xf numFmtId="0" fontId="9" fillId="0" borderId="0" xfId="0" applyFont="1" applyFill="1" applyAlignment="1" applyProtection="1">
      <alignment horizontal="center"/>
      <protection hidden="1" locked="0"/>
    </xf>
    <xf numFmtId="197" fontId="9" fillId="0" borderId="0" xfId="98" applyNumberFormat="1" applyFont="1" applyFill="1" applyAlignment="1" applyProtection="1">
      <alignment horizontal="right"/>
      <protection hidden="1" locked="0"/>
    </xf>
    <xf numFmtId="197" fontId="9" fillId="0" borderId="0" xfId="98" applyNumberFormat="1" applyFont="1" applyFill="1" applyAlignment="1" applyProtection="1" quotePrefix="1">
      <alignment horizontal="right"/>
      <protection hidden="1" locked="0"/>
    </xf>
    <xf numFmtId="0" fontId="11" fillId="38" borderId="0" xfId="0" applyFont="1" applyFill="1" applyAlignment="1">
      <alignment/>
    </xf>
    <xf numFmtId="0" fontId="11" fillId="38" borderId="0" xfId="0" applyFont="1" applyFill="1" applyAlignment="1">
      <alignment horizontal="right"/>
    </xf>
    <xf numFmtId="0" fontId="11" fillId="21" borderId="0" xfId="0" applyFont="1" applyFill="1" applyAlignment="1">
      <alignment/>
    </xf>
    <xf numFmtId="0" fontId="11" fillId="40" borderId="0" xfId="0" applyFont="1" applyFill="1" applyAlignment="1">
      <alignment/>
    </xf>
    <xf numFmtId="0" fontId="10" fillId="40" borderId="0" xfId="0" applyFont="1" applyFill="1" applyAlignment="1">
      <alignment/>
    </xf>
    <xf numFmtId="0" fontId="6" fillId="40" borderId="0" xfId="0" applyFont="1" applyFill="1" applyAlignment="1">
      <alignment/>
    </xf>
    <xf numFmtId="0" fontId="8" fillId="40" borderId="0" xfId="0" applyFont="1" applyFill="1" applyAlignment="1">
      <alignment/>
    </xf>
    <xf numFmtId="0" fontId="13" fillId="40" borderId="0" xfId="0" applyFont="1" applyFill="1" applyAlignment="1">
      <alignment/>
    </xf>
    <xf numFmtId="43" fontId="128" fillId="38" borderId="0" xfId="0" applyNumberFormat="1" applyFont="1" applyFill="1" applyAlignment="1">
      <alignment/>
    </xf>
    <xf numFmtId="192" fontId="4" fillId="2" borderId="0" xfId="98" applyNumberFormat="1" applyFont="1" applyFill="1" applyBorder="1" applyAlignment="1">
      <alignment/>
    </xf>
    <xf numFmtId="0" fontId="129" fillId="0" borderId="0" xfId="0" applyFont="1" applyAlignment="1">
      <alignment/>
    </xf>
    <xf numFmtId="0" fontId="130" fillId="0" borderId="0" xfId="0" applyFont="1" applyAlignment="1">
      <alignment/>
    </xf>
    <xf numFmtId="0" fontId="129" fillId="0" borderId="0" xfId="0" applyFont="1" applyAlignment="1">
      <alignment horizontal="right"/>
    </xf>
    <xf numFmtId="0" fontId="129" fillId="0" borderId="0" xfId="0" applyFont="1" applyAlignment="1">
      <alignment horizontal="center"/>
    </xf>
    <xf numFmtId="43" fontId="18" fillId="0" borderId="0" xfId="98" applyNumberFormat="1" applyFont="1" applyAlignment="1">
      <alignment/>
    </xf>
    <xf numFmtId="0" fontId="129" fillId="0" borderId="0" xfId="0" applyFont="1" applyAlignment="1">
      <alignment horizontal="left"/>
    </xf>
    <xf numFmtId="191" fontId="18" fillId="0" borderId="0" xfId="98" applyFont="1" applyFill="1" applyAlignment="1" applyProtection="1">
      <alignment horizontal="right"/>
      <protection hidden="1"/>
    </xf>
    <xf numFmtId="194" fontId="18" fillId="0" borderId="0" xfId="0" applyNumberFormat="1" applyFont="1" applyAlignment="1">
      <alignment/>
    </xf>
    <xf numFmtId="194" fontId="131" fillId="0" borderId="0" xfId="0" applyNumberFormat="1" applyFont="1" applyAlignment="1">
      <alignment horizontal="left"/>
    </xf>
    <xf numFmtId="0" fontId="130" fillId="0" borderId="0" xfId="0" applyFont="1" applyAlignment="1">
      <alignment horizontal="left"/>
    </xf>
    <xf numFmtId="0" fontId="6" fillId="7" borderId="0" xfId="98" applyNumberFormat="1" applyFont="1" applyFill="1" applyBorder="1" applyAlignment="1" applyProtection="1">
      <alignment horizontal="center"/>
      <protection locked="0"/>
    </xf>
    <xf numFmtId="0" fontId="6" fillId="8" borderId="0" xfId="98" applyNumberFormat="1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0" fontId="6" fillId="6" borderId="0" xfId="0" applyFont="1" applyFill="1" applyBorder="1" applyAlignment="1" applyProtection="1">
      <alignment horizontal="center"/>
      <protection locked="0"/>
    </xf>
    <xf numFmtId="0" fontId="132" fillId="0" borderId="0" xfId="0" applyFont="1" applyAlignment="1">
      <alignment/>
    </xf>
    <xf numFmtId="0" fontId="11" fillId="41" borderId="0" xfId="0" applyFont="1" applyFill="1" applyAlignment="1">
      <alignment/>
    </xf>
    <xf numFmtId="0" fontId="133" fillId="41" borderId="0" xfId="0" applyFont="1" applyFill="1" applyAlignment="1">
      <alignment/>
    </xf>
    <xf numFmtId="0" fontId="134" fillId="41" borderId="0" xfId="0" applyFont="1" applyFill="1" applyAlignment="1">
      <alignment/>
    </xf>
    <xf numFmtId="192" fontId="5" fillId="42" borderId="16" xfId="98" applyNumberFormat="1" applyFont="1" applyFill="1" applyBorder="1" applyAlignment="1">
      <alignment horizontal="center" vertical="center" wrapText="1"/>
    </xf>
    <xf numFmtId="0" fontId="5" fillId="42" borderId="16" xfId="0" applyFont="1" applyFill="1" applyBorder="1" applyAlignment="1">
      <alignment horizontal="center" vertical="center" wrapText="1"/>
    </xf>
    <xf numFmtId="0" fontId="4" fillId="43" borderId="17" xfId="0" applyFont="1" applyFill="1" applyBorder="1" applyAlignment="1">
      <alignment horizontal="right"/>
    </xf>
    <xf numFmtId="192" fontId="4" fillId="43" borderId="18" xfId="98" applyNumberFormat="1" applyFont="1" applyFill="1" applyBorder="1" applyAlignment="1">
      <alignment/>
    </xf>
    <xf numFmtId="0" fontId="4" fillId="43" borderId="18" xfId="0" applyFont="1" applyFill="1" applyBorder="1" applyAlignment="1">
      <alignment/>
    </xf>
    <xf numFmtId="192" fontId="4" fillId="43" borderId="18" xfId="114" applyNumberFormat="1" applyFont="1" applyFill="1" applyBorder="1" applyAlignment="1">
      <alignment/>
    </xf>
    <xf numFmtId="0" fontId="4" fillId="43" borderId="18" xfId="114" applyNumberFormat="1" applyFont="1" applyFill="1" applyBorder="1" applyAlignment="1">
      <alignment/>
    </xf>
    <xf numFmtId="193" fontId="4" fillId="43" borderId="18" xfId="0" applyNumberFormat="1" applyFont="1" applyFill="1" applyBorder="1" applyAlignment="1">
      <alignment/>
    </xf>
    <xf numFmtId="192" fontId="9" fillId="43" borderId="19" xfId="98" applyNumberFormat="1" applyFont="1" applyFill="1" applyBorder="1" applyAlignment="1">
      <alignment/>
    </xf>
    <xf numFmtId="0" fontId="4" fillId="43" borderId="20" xfId="0" applyFont="1" applyFill="1" applyBorder="1" applyAlignment="1">
      <alignment/>
    </xf>
    <xf numFmtId="192" fontId="4" fillId="43" borderId="21" xfId="98" applyNumberFormat="1" applyFont="1" applyFill="1" applyBorder="1" applyAlignment="1">
      <alignment/>
    </xf>
    <xf numFmtId="0" fontId="4" fillId="43" borderId="21" xfId="0" applyFont="1" applyFill="1" applyBorder="1" applyAlignment="1">
      <alignment/>
    </xf>
    <xf numFmtId="192" fontId="4" fillId="43" borderId="21" xfId="114" applyNumberFormat="1" applyFont="1" applyFill="1" applyBorder="1" applyAlignment="1">
      <alignment/>
    </xf>
    <xf numFmtId="0" fontId="4" fillId="43" borderId="21" xfId="114" applyNumberFormat="1" applyFont="1" applyFill="1" applyBorder="1" applyAlignment="1">
      <alignment/>
    </xf>
    <xf numFmtId="193" fontId="4" fillId="43" borderId="21" xfId="0" applyNumberFormat="1" applyFont="1" applyFill="1" applyBorder="1" applyAlignment="1">
      <alignment/>
    </xf>
    <xf numFmtId="192" fontId="9" fillId="43" borderId="22" xfId="98" applyNumberFormat="1" applyFont="1" applyFill="1" applyBorder="1" applyAlignment="1">
      <alignment/>
    </xf>
    <xf numFmtId="0" fontId="4" fillId="43" borderId="23" xfId="0" applyFont="1" applyFill="1" applyBorder="1" applyAlignment="1">
      <alignment horizontal="right"/>
    </xf>
    <xf numFmtId="192" fontId="4" fillId="43" borderId="24" xfId="98" applyNumberFormat="1" applyFont="1" applyFill="1" applyBorder="1" applyAlignment="1">
      <alignment/>
    </xf>
    <xf numFmtId="0" fontId="4" fillId="43" borderId="24" xfId="0" applyFont="1" applyFill="1" applyBorder="1" applyAlignment="1">
      <alignment/>
    </xf>
    <xf numFmtId="192" fontId="4" fillId="43" borderId="24" xfId="114" applyNumberFormat="1" applyFont="1" applyFill="1" applyBorder="1" applyAlignment="1">
      <alignment/>
    </xf>
    <xf numFmtId="0" fontId="4" fillId="43" borderId="24" xfId="114" applyNumberFormat="1" applyFont="1" applyFill="1" applyBorder="1" applyAlignment="1">
      <alignment/>
    </xf>
    <xf numFmtId="193" fontId="4" fillId="43" borderId="24" xfId="0" applyNumberFormat="1" applyFont="1" applyFill="1" applyBorder="1" applyAlignment="1">
      <alignment/>
    </xf>
    <xf numFmtId="192" fontId="9" fillId="43" borderId="25" xfId="98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37" borderId="0" xfId="70" applyFill="1" applyBorder="1" applyAlignment="1" applyProtection="1">
      <alignment horizontal="center"/>
      <protection/>
    </xf>
    <xf numFmtId="0" fontId="4" fillId="42" borderId="26" xfId="0" applyFont="1" applyFill="1" applyBorder="1" applyAlignment="1">
      <alignment/>
    </xf>
    <xf numFmtId="0" fontId="4" fillId="42" borderId="16" xfId="0" applyFont="1" applyFill="1" applyBorder="1" applyAlignment="1">
      <alignment/>
    </xf>
    <xf numFmtId="192" fontId="9" fillId="43" borderId="18" xfId="98" applyNumberFormat="1" applyFont="1" applyFill="1" applyBorder="1" applyAlignment="1">
      <alignment/>
    </xf>
    <xf numFmtId="192" fontId="6" fillId="43" borderId="18" xfId="98" applyNumberFormat="1" applyFont="1" applyFill="1" applyBorder="1" applyAlignment="1">
      <alignment/>
    </xf>
    <xf numFmtId="197" fontId="4" fillId="43" borderId="18" xfId="98" applyNumberFormat="1" applyFont="1" applyFill="1" applyBorder="1" applyAlignment="1">
      <alignment/>
    </xf>
    <xf numFmtId="194" fontId="4" fillId="43" borderId="18" xfId="0" applyNumberFormat="1" applyFont="1" applyFill="1" applyBorder="1" applyAlignment="1">
      <alignment/>
    </xf>
    <xf numFmtId="194" fontId="4" fillId="43" borderId="19" xfId="0" applyNumberFormat="1" applyFont="1" applyFill="1" applyBorder="1" applyAlignment="1">
      <alignment/>
    </xf>
    <xf numFmtId="0" fontId="4" fillId="43" borderId="20" xfId="0" applyFont="1" applyFill="1" applyBorder="1" applyAlignment="1">
      <alignment horizontal="right"/>
    </xf>
    <xf numFmtId="192" fontId="9" fillId="43" borderId="21" xfId="98" applyNumberFormat="1" applyFont="1" applyFill="1" applyBorder="1" applyAlignment="1">
      <alignment/>
    </xf>
    <xf numFmtId="192" fontId="6" fillId="43" borderId="21" xfId="98" applyNumberFormat="1" applyFont="1" applyFill="1" applyBorder="1" applyAlignment="1">
      <alignment/>
    </xf>
    <xf numFmtId="197" fontId="4" fillId="43" borderId="21" xfId="98" applyNumberFormat="1" applyFont="1" applyFill="1" applyBorder="1" applyAlignment="1">
      <alignment/>
    </xf>
    <xf numFmtId="194" fontId="4" fillId="43" borderId="21" xfId="0" applyNumberFormat="1" applyFont="1" applyFill="1" applyBorder="1" applyAlignment="1">
      <alignment/>
    </xf>
    <xf numFmtId="194" fontId="4" fillId="43" borderId="22" xfId="0" applyNumberFormat="1" applyFont="1" applyFill="1" applyBorder="1" applyAlignment="1">
      <alignment/>
    </xf>
    <xf numFmtId="192" fontId="9" fillId="43" borderId="24" xfId="98" applyNumberFormat="1" applyFont="1" applyFill="1" applyBorder="1" applyAlignment="1">
      <alignment/>
    </xf>
    <xf numFmtId="192" fontId="6" fillId="43" borderId="24" xfId="98" applyNumberFormat="1" applyFont="1" applyFill="1" applyBorder="1" applyAlignment="1">
      <alignment/>
    </xf>
    <xf numFmtId="197" fontId="4" fillId="43" borderId="24" xfId="98" applyNumberFormat="1" applyFont="1" applyFill="1" applyBorder="1" applyAlignment="1">
      <alignment/>
    </xf>
    <xf numFmtId="194" fontId="4" fillId="43" borderId="24" xfId="0" applyNumberFormat="1" applyFont="1" applyFill="1" applyBorder="1" applyAlignment="1">
      <alignment/>
    </xf>
    <xf numFmtId="194" fontId="4" fillId="43" borderId="25" xfId="0" applyNumberFormat="1" applyFont="1" applyFill="1" applyBorder="1" applyAlignment="1">
      <alignment/>
    </xf>
    <xf numFmtId="0" fontId="4" fillId="43" borderId="17" xfId="0" applyFont="1" applyFill="1" applyBorder="1" applyAlignment="1">
      <alignment horizontal="center"/>
    </xf>
    <xf numFmtId="192" fontId="135" fillId="43" borderId="18" xfId="98" applyNumberFormat="1" applyFont="1" applyFill="1" applyBorder="1" applyAlignment="1">
      <alignment/>
    </xf>
    <xf numFmtId="0" fontId="4" fillId="43" borderId="20" xfId="0" applyFont="1" applyFill="1" applyBorder="1" applyAlignment="1">
      <alignment horizontal="center"/>
    </xf>
    <xf numFmtId="192" fontId="135" fillId="43" borderId="21" xfId="98" applyNumberFormat="1" applyFont="1" applyFill="1" applyBorder="1" applyAlignment="1">
      <alignment/>
    </xf>
    <xf numFmtId="192" fontId="6" fillId="43" borderId="21" xfId="98" applyNumberFormat="1" applyFont="1" applyFill="1" applyBorder="1" applyAlignment="1">
      <alignment/>
    </xf>
    <xf numFmtId="3" fontId="4" fillId="43" borderId="20" xfId="0" applyNumberFormat="1" applyFont="1" applyFill="1" applyBorder="1" applyAlignment="1">
      <alignment horizontal="center"/>
    </xf>
    <xf numFmtId="0" fontId="4" fillId="43" borderId="23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192" fontId="5" fillId="42" borderId="27" xfId="98" applyNumberFormat="1" applyFont="1" applyFill="1" applyBorder="1" applyAlignment="1">
      <alignment horizontal="center" vertical="center" wrapText="1"/>
    </xf>
    <xf numFmtId="0" fontId="5" fillId="42" borderId="27" xfId="0" applyFont="1" applyFill="1" applyBorder="1" applyAlignment="1">
      <alignment horizontal="center" vertical="center" wrapText="1"/>
    </xf>
    <xf numFmtId="0" fontId="9" fillId="43" borderId="0" xfId="0" applyFont="1" applyFill="1" applyBorder="1" applyAlignment="1" applyProtection="1">
      <alignment horizontal="center"/>
      <protection locked="0"/>
    </xf>
    <xf numFmtId="0" fontId="4" fillId="42" borderId="0" xfId="0" applyFont="1" applyFill="1" applyBorder="1" applyAlignment="1">
      <alignment horizontal="center"/>
    </xf>
    <xf numFmtId="0" fontId="10" fillId="14" borderId="0" xfId="0" applyFont="1" applyFill="1" applyBorder="1" applyAlignment="1">
      <alignment horizontal="center"/>
    </xf>
    <xf numFmtId="0" fontId="133" fillId="41" borderId="0" xfId="0" applyFont="1" applyFill="1" applyAlignment="1">
      <alignment horizontal="right"/>
    </xf>
    <xf numFmtId="0" fontId="4" fillId="43" borderId="23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44" borderId="0" xfId="0" applyFont="1" applyFill="1" applyAlignment="1">
      <alignment/>
    </xf>
    <xf numFmtId="0" fontId="4" fillId="44" borderId="0" xfId="0" applyFont="1" applyFill="1" applyAlignment="1">
      <alignment horizontal="center"/>
    </xf>
    <xf numFmtId="0" fontId="129" fillId="0" borderId="28" xfId="0" applyFont="1" applyBorder="1" applyAlignment="1">
      <alignment/>
    </xf>
    <xf numFmtId="0" fontId="129" fillId="0" borderId="0" xfId="0" applyFont="1" applyBorder="1" applyAlignment="1">
      <alignment/>
    </xf>
    <xf numFmtId="0" fontId="129" fillId="0" borderId="29" xfId="0" applyFont="1" applyBorder="1" applyAlignment="1">
      <alignment/>
    </xf>
    <xf numFmtId="0" fontId="129" fillId="0" borderId="30" xfId="0" applyFont="1" applyBorder="1" applyAlignment="1">
      <alignment/>
    </xf>
    <xf numFmtId="0" fontId="129" fillId="0" borderId="31" xfId="0" applyFont="1" applyBorder="1" applyAlignment="1">
      <alignment/>
    </xf>
    <xf numFmtId="0" fontId="129" fillId="0" borderId="32" xfId="0" applyFont="1" applyBorder="1" applyAlignment="1">
      <alignment/>
    </xf>
    <xf numFmtId="0" fontId="136" fillId="0" borderId="33" xfId="0" applyFont="1" applyFill="1" applyBorder="1" applyAlignment="1">
      <alignment/>
    </xf>
    <xf numFmtId="0" fontId="136" fillId="0" borderId="34" xfId="0" applyFont="1" applyFill="1" applyBorder="1" applyAlignment="1">
      <alignment/>
    </xf>
    <xf numFmtId="0" fontId="137" fillId="0" borderId="28" xfId="0" applyFont="1" applyFill="1" applyBorder="1" applyAlignment="1">
      <alignment/>
    </xf>
    <xf numFmtId="0" fontId="25" fillId="0" borderId="0" xfId="0" applyFont="1" applyAlignment="1">
      <alignment/>
    </xf>
    <xf numFmtId="0" fontId="44" fillId="0" borderId="0" xfId="108" applyFont="1" applyAlignment="1">
      <alignment wrapText="1"/>
      <protection/>
    </xf>
    <xf numFmtId="0" fontId="44" fillId="0" borderId="0" xfId="108" applyFont="1">
      <alignment/>
      <protection/>
    </xf>
    <xf numFmtId="0" fontId="44" fillId="0" borderId="0" xfId="108" applyFont="1" applyFill="1" applyAlignment="1">
      <alignment horizontal="left" wrapText="1"/>
      <protection/>
    </xf>
    <xf numFmtId="0" fontId="44" fillId="0" borderId="0" xfId="108" applyFont="1" applyFill="1" applyAlignment="1">
      <alignment horizontal="left"/>
      <protection/>
    </xf>
    <xf numFmtId="0" fontId="45" fillId="0" borderId="0" xfId="108" applyFont="1" applyFill="1" applyBorder="1" applyAlignment="1">
      <alignment horizontal="center"/>
      <protection/>
    </xf>
    <xf numFmtId="0" fontId="45" fillId="0" borderId="0" xfId="108" applyFont="1" applyFill="1" applyBorder="1" applyAlignment="1">
      <alignment horizontal="center" wrapText="1"/>
      <protection/>
    </xf>
    <xf numFmtId="1" fontId="44" fillId="0" borderId="0" xfId="108" applyNumberFormat="1" applyFont="1" applyAlignment="1">
      <alignment horizontal="left" indent="5"/>
      <protection/>
    </xf>
    <xf numFmtId="1" fontId="138" fillId="0" borderId="0" xfId="108" applyNumberFormat="1" applyFont="1" applyAlignment="1">
      <alignment horizontal="left" indent="5"/>
      <protection/>
    </xf>
    <xf numFmtId="0" fontId="138" fillId="0" borderId="0" xfId="108" applyFont="1">
      <alignment/>
      <protection/>
    </xf>
    <xf numFmtId="0" fontId="45" fillId="0" borderId="0" xfId="108" applyFont="1">
      <alignment/>
      <protection/>
    </xf>
    <xf numFmtId="0" fontId="18" fillId="0" borderId="0" xfId="108" applyFont="1">
      <alignment/>
      <protection/>
    </xf>
    <xf numFmtId="0" fontId="18" fillId="0" borderId="0" xfId="108" applyFont="1" applyBorder="1">
      <alignment/>
      <protection/>
    </xf>
    <xf numFmtId="0" fontId="136" fillId="0" borderId="0" xfId="108" applyFont="1">
      <alignment/>
      <protection/>
    </xf>
    <xf numFmtId="0" fontId="139" fillId="0" borderId="27" xfId="108" applyFont="1" applyFill="1" applyBorder="1" applyAlignment="1">
      <alignment horizontal="center"/>
      <protection/>
    </xf>
    <xf numFmtId="0" fontId="53" fillId="0" borderId="27" xfId="108" applyFont="1" applyFill="1" applyBorder="1" applyAlignment="1">
      <alignment horizontal="center"/>
      <protection/>
    </xf>
    <xf numFmtId="0" fontId="139" fillId="0" borderId="35" xfId="108" applyFont="1" applyFill="1" applyBorder="1" applyAlignment="1">
      <alignment horizontal="center"/>
      <protection/>
    </xf>
    <xf numFmtId="0" fontId="53" fillId="0" borderId="35" xfId="108" applyFont="1" applyFill="1" applyBorder="1" applyAlignment="1">
      <alignment horizontal="center"/>
      <protection/>
    </xf>
    <xf numFmtId="0" fontId="50" fillId="0" borderId="36" xfId="108" applyFont="1" applyBorder="1" applyAlignment="1">
      <alignment horizontal="center"/>
      <protection/>
    </xf>
    <xf numFmtId="0" fontId="50" fillId="0" borderId="37" xfId="108" applyFont="1" applyBorder="1">
      <alignment/>
      <protection/>
    </xf>
    <xf numFmtId="0" fontId="55" fillId="0" borderId="38" xfId="108" applyFont="1" applyBorder="1">
      <alignment/>
      <protection/>
    </xf>
    <xf numFmtId="0" fontId="55" fillId="0" borderId="36" xfId="108" applyFont="1" applyBorder="1">
      <alignment/>
      <protection/>
    </xf>
    <xf numFmtId="0" fontId="140" fillId="0" borderId="36" xfId="108" applyFont="1" applyBorder="1">
      <alignment/>
      <protection/>
    </xf>
    <xf numFmtId="0" fontId="55" fillId="0" borderId="36" xfId="108" applyFont="1" applyBorder="1" applyAlignment="1">
      <alignment horizontal="center"/>
      <protection/>
    </xf>
    <xf numFmtId="0" fontId="55" fillId="0" borderId="0" xfId="108" applyFont="1">
      <alignment/>
      <protection/>
    </xf>
    <xf numFmtId="0" fontId="46" fillId="0" borderId="39" xfId="108" applyFont="1" applyBorder="1" applyAlignment="1">
      <alignment horizontal="center"/>
      <protection/>
    </xf>
    <xf numFmtId="0" fontId="46" fillId="0" borderId="40" xfId="108" applyFont="1" applyBorder="1">
      <alignment/>
      <protection/>
    </xf>
    <xf numFmtId="0" fontId="18" fillId="0" borderId="41" xfId="108" applyFont="1" applyBorder="1">
      <alignment/>
      <protection/>
    </xf>
    <xf numFmtId="0" fontId="18" fillId="0" borderId="39" xfId="108" applyFont="1" applyBorder="1">
      <alignment/>
      <protection/>
    </xf>
    <xf numFmtId="0" fontId="136" fillId="0" borderId="39" xfId="108" applyFont="1" applyBorder="1">
      <alignment/>
      <protection/>
    </xf>
    <xf numFmtId="0" fontId="18" fillId="0" borderId="39" xfId="108" applyFont="1" applyBorder="1" applyAlignment="1">
      <alignment horizontal="center"/>
      <protection/>
    </xf>
    <xf numFmtId="0" fontId="18" fillId="0" borderId="40" xfId="108" applyFont="1" applyBorder="1">
      <alignment/>
      <protection/>
    </xf>
    <xf numFmtId="0" fontId="18" fillId="0" borderId="42" xfId="108" applyFont="1" applyBorder="1">
      <alignment/>
      <protection/>
    </xf>
    <xf numFmtId="210" fontId="18" fillId="0" borderId="39" xfId="100" applyNumberFormat="1" applyFont="1" applyBorder="1" applyAlignment="1">
      <alignment/>
    </xf>
    <xf numFmtId="43" fontId="136" fillId="0" borderId="39" xfId="108" applyNumberFormat="1" applyFont="1" applyBorder="1">
      <alignment/>
      <protection/>
    </xf>
    <xf numFmtId="43" fontId="18" fillId="0" borderId="39" xfId="100" applyNumberFormat="1" applyFont="1" applyBorder="1" applyAlignment="1">
      <alignment/>
    </xf>
    <xf numFmtId="0" fontId="54" fillId="0" borderId="39" xfId="108" applyFont="1" applyBorder="1">
      <alignment/>
      <protection/>
    </xf>
    <xf numFmtId="43" fontId="18" fillId="0" borderId="39" xfId="100" applyNumberFormat="1" applyFont="1" applyBorder="1" applyAlignment="1">
      <alignment/>
    </xf>
    <xf numFmtId="193" fontId="136" fillId="0" borderId="39" xfId="100" applyNumberFormat="1" applyFont="1" applyBorder="1" applyAlignment="1">
      <alignment/>
    </xf>
    <xf numFmtId="0" fontId="18" fillId="0" borderId="43" xfId="108" applyFont="1" applyBorder="1">
      <alignment/>
      <protection/>
    </xf>
    <xf numFmtId="0" fontId="18" fillId="0" borderId="44" xfId="108" applyFont="1" applyBorder="1">
      <alignment/>
      <protection/>
    </xf>
    <xf numFmtId="0" fontId="18" fillId="0" borderId="45" xfId="108" applyFont="1" applyBorder="1">
      <alignment/>
      <protection/>
    </xf>
    <xf numFmtId="210" fontId="18" fillId="0" borderId="43" xfId="100" applyNumberFormat="1" applyFont="1" applyBorder="1" applyAlignment="1">
      <alignment/>
    </xf>
    <xf numFmtId="0" fontId="18" fillId="0" borderId="43" xfId="108" applyFont="1" applyBorder="1" applyAlignment="1">
      <alignment horizontal="center"/>
      <protection/>
    </xf>
    <xf numFmtId="0" fontId="136" fillId="0" borderId="43" xfId="108" applyFont="1" applyBorder="1" applyAlignment="1">
      <alignment horizontal="center"/>
      <protection/>
    </xf>
    <xf numFmtId="210" fontId="46" fillId="0" borderId="43" xfId="100" applyNumberFormat="1" applyFont="1" applyBorder="1" applyAlignment="1">
      <alignment/>
    </xf>
    <xf numFmtId="0" fontId="46" fillId="0" borderId="43" xfId="108" applyFont="1" applyBorder="1">
      <alignment/>
      <protection/>
    </xf>
    <xf numFmtId="0" fontId="46" fillId="0" borderId="46" xfId="108" applyFont="1" applyBorder="1" applyAlignment="1">
      <alignment horizontal="center"/>
      <protection/>
    </xf>
    <xf numFmtId="0" fontId="18" fillId="0" borderId="46" xfId="108" applyFont="1" applyBorder="1">
      <alignment/>
      <protection/>
    </xf>
    <xf numFmtId="0" fontId="136" fillId="0" borderId="46" xfId="108" applyFont="1" applyBorder="1">
      <alignment/>
      <protection/>
    </xf>
    <xf numFmtId="0" fontId="18" fillId="0" borderId="46" xfId="108" applyFont="1" applyBorder="1" applyAlignment="1">
      <alignment horizontal="center"/>
      <protection/>
    </xf>
    <xf numFmtId="0" fontId="136" fillId="0" borderId="39" xfId="108" applyFont="1" applyBorder="1" applyAlignment="1">
      <alignment horizontal="center"/>
      <protection/>
    </xf>
    <xf numFmtId="210" fontId="46" fillId="0" borderId="39" xfId="100" applyNumberFormat="1" applyFont="1" applyBorder="1" applyAlignment="1">
      <alignment/>
    </xf>
    <xf numFmtId="0" fontId="46" fillId="0" borderId="39" xfId="108" applyFont="1" applyBorder="1">
      <alignment/>
      <protection/>
    </xf>
    <xf numFmtId="0" fontId="18" fillId="0" borderId="43" xfId="108" applyFont="1" applyBorder="1" applyAlignment="1">
      <alignment/>
      <protection/>
    </xf>
    <xf numFmtId="0" fontId="136" fillId="0" borderId="43" xfId="108" applyFont="1" applyBorder="1" applyAlignment="1">
      <alignment/>
      <protection/>
    </xf>
    <xf numFmtId="0" fontId="55" fillId="0" borderId="47" xfId="108" applyFont="1" applyBorder="1">
      <alignment/>
      <protection/>
    </xf>
    <xf numFmtId="0" fontId="136" fillId="0" borderId="43" xfId="108" applyFont="1" applyBorder="1">
      <alignment/>
      <protection/>
    </xf>
    <xf numFmtId="0" fontId="50" fillId="0" borderId="46" xfId="108" applyFont="1" applyBorder="1" applyAlignment="1">
      <alignment horizontal="center"/>
      <protection/>
    </xf>
    <xf numFmtId="0" fontId="50" fillId="0" borderId="48" xfId="108" applyFont="1" applyBorder="1">
      <alignment/>
      <protection/>
    </xf>
    <xf numFmtId="0" fontId="55" fillId="0" borderId="42" xfId="108" applyFont="1" applyBorder="1">
      <alignment/>
      <protection/>
    </xf>
    <xf numFmtId="0" fontId="55" fillId="0" borderId="46" xfId="108" applyFont="1" applyBorder="1">
      <alignment/>
      <protection/>
    </xf>
    <xf numFmtId="0" fontId="140" fillId="0" borderId="46" xfId="108" applyFont="1" applyBorder="1">
      <alignment/>
      <protection/>
    </xf>
    <xf numFmtId="0" fontId="55" fillId="0" borderId="46" xfId="108" applyFont="1" applyBorder="1" applyAlignment="1">
      <alignment horizontal="center"/>
      <protection/>
    </xf>
    <xf numFmtId="0" fontId="56" fillId="0" borderId="46" xfId="108" applyFont="1" applyBorder="1">
      <alignment/>
      <protection/>
    </xf>
    <xf numFmtId="0" fontId="54" fillId="0" borderId="40" xfId="108" applyFont="1" applyBorder="1">
      <alignment/>
      <protection/>
    </xf>
    <xf numFmtId="210" fontId="54" fillId="0" borderId="39" xfId="100" applyNumberFormat="1" applyFont="1" applyBorder="1" applyAlignment="1">
      <alignment/>
    </xf>
    <xf numFmtId="0" fontId="54" fillId="0" borderId="39" xfId="108" applyFont="1" applyBorder="1" applyAlignment="1">
      <alignment horizontal="center"/>
      <protection/>
    </xf>
    <xf numFmtId="210" fontId="46" fillId="0" borderId="39" xfId="108" applyNumberFormat="1" applyFont="1" applyBorder="1" applyAlignment="1">
      <alignment horizontal="center"/>
      <protection/>
    </xf>
    <xf numFmtId="0" fontId="56" fillId="0" borderId="39" xfId="108" applyFont="1" applyBorder="1">
      <alignment/>
      <protection/>
    </xf>
    <xf numFmtId="0" fontId="56" fillId="0" borderId="39" xfId="108" applyFont="1" applyBorder="1" applyAlignment="1">
      <alignment horizontal="center"/>
      <protection/>
    </xf>
    <xf numFmtId="0" fontId="54" fillId="0" borderId="48" xfId="108" applyFont="1" applyBorder="1">
      <alignment/>
      <protection/>
    </xf>
    <xf numFmtId="210" fontId="54" fillId="0" borderId="46" xfId="100" applyNumberFormat="1" applyFont="1" applyBorder="1" applyAlignment="1">
      <alignment/>
    </xf>
    <xf numFmtId="0" fontId="54" fillId="0" borderId="46" xfId="108" applyFont="1" applyBorder="1" applyAlignment="1">
      <alignment horizontal="center"/>
      <protection/>
    </xf>
    <xf numFmtId="0" fontId="136" fillId="0" borderId="46" xfId="108" applyFont="1" applyBorder="1" applyAlignment="1">
      <alignment horizontal="center"/>
      <protection/>
    </xf>
    <xf numFmtId="210" fontId="46" fillId="0" borderId="46" xfId="108" applyNumberFormat="1" applyFont="1" applyBorder="1" applyAlignment="1">
      <alignment horizontal="center"/>
      <protection/>
    </xf>
    <xf numFmtId="0" fontId="56" fillId="0" borderId="46" xfId="108" applyFont="1" applyBorder="1" applyAlignment="1">
      <alignment horizontal="center"/>
      <protection/>
    </xf>
    <xf numFmtId="0" fontId="18" fillId="0" borderId="21" xfId="108" applyFont="1" applyBorder="1">
      <alignment/>
      <protection/>
    </xf>
    <xf numFmtId="0" fontId="54" fillId="0" borderId="49" xfId="108" applyFont="1" applyBorder="1">
      <alignment/>
      <protection/>
    </xf>
    <xf numFmtId="0" fontId="18" fillId="0" borderId="50" xfId="108" applyFont="1" applyBorder="1">
      <alignment/>
      <protection/>
    </xf>
    <xf numFmtId="210" fontId="54" fillId="0" borderId="21" xfId="100" applyNumberFormat="1" applyFont="1" applyBorder="1" applyAlignment="1">
      <alignment/>
    </xf>
    <xf numFmtId="0" fontId="54" fillId="0" borderId="21" xfId="108" applyFont="1" applyBorder="1" applyAlignment="1">
      <alignment horizontal="center"/>
      <protection/>
    </xf>
    <xf numFmtId="0" fontId="136" fillId="0" borderId="21" xfId="108" applyFont="1" applyBorder="1" applyAlignment="1">
      <alignment horizontal="center"/>
      <protection/>
    </xf>
    <xf numFmtId="0" fontId="56" fillId="0" borderId="21" xfId="108" applyFont="1" applyBorder="1" applyAlignment="1">
      <alignment horizontal="center"/>
      <protection/>
    </xf>
    <xf numFmtId="210" fontId="55" fillId="0" borderId="36" xfId="100" applyNumberFormat="1" applyFont="1" applyBorder="1" applyAlignment="1">
      <alignment/>
    </xf>
    <xf numFmtId="0" fontId="140" fillId="0" borderId="36" xfId="108" applyFont="1" applyBorder="1" applyAlignment="1">
      <alignment horizontal="center"/>
      <protection/>
    </xf>
    <xf numFmtId="43" fontId="18" fillId="0" borderId="43" xfId="100" applyFont="1" applyBorder="1" applyAlignment="1">
      <alignment/>
    </xf>
    <xf numFmtId="43" fontId="136" fillId="0" borderId="43" xfId="108" applyNumberFormat="1" applyFont="1" applyBorder="1">
      <alignment/>
      <protection/>
    </xf>
    <xf numFmtId="43" fontId="18" fillId="0" borderId="43" xfId="100" applyNumberFormat="1" applyFont="1" applyBorder="1" applyAlignment="1">
      <alignment/>
    </xf>
    <xf numFmtId="0" fontId="18" fillId="0" borderId="48" xfId="108" applyFont="1" applyBorder="1">
      <alignment/>
      <protection/>
    </xf>
    <xf numFmtId="43" fontId="18" fillId="0" borderId="46" xfId="100" applyFont="1" applyBorder="1" applyAlignment="1">
      <alignment/>
    </xf>
    <xf numFmtId="43" fontId="136" fillId="0" borderId="46" xfId="108" applyNumberFormat="1" applyFont="1" applyBorder="1">
      <alignment/>
      <protection/>
    </xf>
    <xf numFmtId="43" fontId="18" fillId="0" borderId="46" xfId="100" applyNumberFormat="1" applyFont="1" applyBorder="1" applyAlignment="1">
      <alignment/>
    </xf>
    <xf numFmtId="43" fontId="18" fillId="0" borderId="39" xfId="100" applyFont="1" applyBorder="1" applyAlignment="1">
      <alignment/>
    </xf>
    <xf numFmtId="43" fontId="136" fillId="0" borderId="39" xfId="100" applyFont="1" applyBorder="1" applyAlignment="1">
      <alignment/>
    </xf>
    <xf numFmtId="43" fontId="18" fillId="0" borderId="39" xfId="100" applyFont="1" applyBorder="1" applyAlignment="1">
      <alignment/>
    </xf>
    <xf numFmtId="43" fontId="136" fillId="0" borderId="39" xfId="108" applyNumberFormat="1" applyFont="1" applyBorder="1" applyAlignment="1">
      <alignment horizontal="center"/>
      <protection/>
    </xf>
    <xf numFmtId="0" fontId="18" fillId="0" borderId="51" xfId="108" applyFont="1" applyBorder="1" applyAlignment="1">
      <alignment/>
      <protection/>
    </xf>
    <xf numFmtId="0" fontId="18" fillId="0" borderId="52" xfId="108" applyFont="1" applyBorder="1">
      <alignment/>
      <protection/>
    </xf>
    <xf numFmtId="0" fontId="18" fillId="0" borderId="53" xfId="108" applyFont="1" applyBorder="1">
      <alignment/>
      <protection/>
    </xf>
    <xf numFmtId="210" fontId="18" fillId="0" borderId="51" xfId="100" applyNumberFormat="1" applyFont="1" applyBorder="1" applyAlignment="1">
      <alignment/>
    </xf>
    <xf numFmtId="0" fontId="18" fillId="0" borderId="51" xfId="108" applyFont="1" applyBorder="1" applyAlignment="1">
      <alignment horizontal="center"/>
      <protection/>
    </xf>
    <xf numFmtId="0" fontId="136" fillId="0" borderId="51" xfId="108" applyFont="1" applyBorder="1" applyAlignment="1">
      <alignment horizontal="center"/>
      <protection/>
    </xf>
    <xf numFmtId="210" fontId="46" fillId="0" borderId="51" xfId="100" applyNumberFormat="1" applyFont="1" applyBorder="1" applyAlignment="1">
      <alignment/>
    </xf>
    <xf numFmtId="0" fontId="18" fillId="0" borderId="51" xfId="108" applyFont="1" applyBorder="1">
      <alignment/>
      <protection/>
    </xf>
    <xf numFmtId="0" fontId="46" fillId="0" borderId="36" xfId="108" applyFont="1" applyBorder="1" applyAlignment="1">
      <alignment horizontal="center"/>
      <protection/>
    </xf>
    <xf numFmtId="0" fontId="46" fillId="0" borderId="37" xfId="108" applyFont="1" applyBorder="1">
      <alignment/>
      <protection/>
    </xf>
    <xf numFmtId="0" fontId="18" fillId="0" borderId="47" xfId="108" applyFont="1" applyBorder="1">
      <alignment/>
      <protection/>
    </xf>
    <xf numFmtId="210" fontId="18" fillId="0" borderId="36" xfId="100" applyNumberFormat="1" applyFont="1" applyBorder="1" applyAlignment="1">
      <alignment/>
    </xf>
    <xf numFmtId="0" fontId="18" fillId="0" borderId="36" xfId="108" applyFont="1" applyBorder="1" applyAlignment="1">
      <alignment horizontal="center"/>
      <protection/>
    </xf>
    <xf numFmtId="0" fontId="136" fillId="0" borderId="36" xfId="108" applyFont="1" applyBorder="1" applyAlignment="1">
      <alignment horizontal="center"/>
      <protection/>
    </xf>
    <xf numFmtId="210" fontId="136" fillId="0" borderId="46" xfId="100" applyNumberFormat="1" applyFont="1" applyBorder="1" applyAlignment="1">
      <alignment/>
    </xf>
    <xf numFmtId="43" fontId="18" fillId="0" borderId="46" xfId="100" applyFont="1" applyBorder="1" applyAlignment="1">
      <alignment/>
    </xf>
    <xf numFmtId="0" fontId="46" fillId="0" borderId="51" xfId="108" applyFont="1" applyBorder="1">
      <alignment/>
      <protection/>
    </xf>
    <xf numFmtId="0" fontId="18" fillId="0" borderId="36" xfId="108" applyFont="1" applyBorder="1" applyAlignment="1">
      <alignment/>
      <protection/>
    </xf>
    <xf numFmtId="0" fontId="18" fillId="0" borderId="36" xfId="108" applyFont="1" applyBorder="1">
      <alignment/>
      <protection/>
    </xf>
    <xf numFmtId="0" fontId="18" fillId="0" borderId="39" xfId="108" applyFont="1" applyBorder="1" applyAlignment="1">
      <alignment/>
      <protection/>
    </xf>
    <xf numFmtId="210" fontId="136" fillId="0" borderId="39" xfId="100" applyNumberFormat="1" applyFont="1" applyBorder="1" applyAlignment="1">
      <alignment/>
    </xf>
    <xf numFmtId="210" fontId="18" fillId="0" borderId="39" xfId="100" applyNumberFormat="1" applyFont="1" applyBorder="1" applyAlignment="1">
      <alignment/>
    </xf>
    <xf numFmtId="210" fontId="46" fillId="0" borderId="51" xfId="108" applyNumberFormat="1" applyFont="1" applyBorder="1" applyAlignment="1">
      <alignment/>
      <protection/>
    </xf>
    <xf numFmtId="210" fontId="46" fillId="0" borderId="43" xfId="108" applyNumberFormat="1" applyFont="1" applyBorder="1" applyAlignment="1">
      <alignment/>
      <protection/>
    </xf>
    <xf numFmtId="43" fontId="18" fillId="0" borderId="43" xfId="100" applyFont="1" applyBorder="1" applyAlignment="1">
      <alignment/>
    </xf>
    <xf numFmtId="43" fontId="18" fillId="0" borderId="46" xfId="100" applyNumberFormat="1" applyFont="1" applyBorder="1" applyAlignment="1">
      <alignment/>
    </xf>
    <xf numFmtId="0" fontId="46" fillId="0" borderId="48" xfId="108" applyFont="1" applyBorder="1">
      <alignment/>
      <protection/>
    </xf>
    <xf numFmtId="210" fontId="18" fillId="0" borderId="46" xfId="100" applyNumberFormat="1" applyFont="1" applyBorder="1" applyAlignment="1">
      <alignment/>
    </xf>
    <xf numFmtId="193" fontId="136" fillId="0" borderId="46" xfId="100" applyNumberFormat="1" applyFont="1" applyBorder="1" applyAlignment="1">
      <alignment/>
    </xf>
    <xf numFmtId="210" fontId="136" fillId="0" borderId="39" xfId="108" applyNumberFormat="1" applyFont="1" applyBorder="1">
      <alignment/>
      <protection/>
    </xf>
    <xf numFmtId="0" fontId="18" fillId="0" borderId="35" xfId="108" applyFont="1" applyBorder="1">
      <alignment/>
      <protection/>
    </xf>
    <xf numFmtId="0" fontId="18" fillId="0" borderId="54" xfId="108" applyFont="1" applyBorder="1">
      <alignment/>
      <protection/>
    </xf>
    <xf numFmtId="0" fontId="18" fillId="0" borderId="55" xfId="108" applyFont="1" applyBorder="1">
      <alignment/>
      <protection/>
    </xf>
    <xf numFmtId="210" fontId="18" fillId="0" borderId="35" xfId="100" applyNumberFormat="1" applyFont="1" applyBorder="1" applyAlignment="1">
      <alignment/>
    </xf>
    <xf numFmtId="0" fontId="18" fillId="0" borderId="35" xfId="108" applyFont="1" applyBorder="1" applyAlignment="1">
      <alignment horizontal="center"/>
      <protection/>
    </xf>
    <xf numFmtId="0" fontId="136" fillId="0" borderId="35" xfId="108" applyFont="1" applyBorder="1" applyAlignment="1">
      <alignment horizontal="center"/>
      <protection/>
    </xf>
    <xf numFmtId="210" fontId="46" fillId="0" borderId="35" xfId="100" applyNumberFormat="1" applyFont="1" applyBorder="1" applyAlignment="1">
      <alignment/>
    </xf>
    <xf numFmtId="0" fontId="46" fillId="0" borderId="35" xfId="108" applyFont="1" applyBorder="1">
      <alignment/>
      <protection/>
    </xf>
    <xf numFmtId="2" fontId="46" fillId="0" borderId="46" xfId="108" applyNumberFormat="1" applyFont="1" applyBorder="1" applyAlignment="1">
      <alignment horizontal="center"/>
      <protection/>
    </xf>
    <xf numFmtId="0" fontId="18" fillId="37" borderId="44" xfId="108" applyFont="1" applyFill="1" applyBorder="1">
      <alignment/>
      <protection/>
    </xf>
    <xf numFmtId="0" fontId="18" fillId="37" borderId="40" xfId="108" applyFont="1" applyFill="1" applyBorder="1">
      <alignment/>
      <protection/>
    </xf>
    <xf numFmtId="0" fontId="18" fillId="0" borderId="49" xfId="108" applyFont="1" applyBorder="1">
      <alignment/>
      <protection/>
    </xf>
    <xf numFmtId="210" fontId="18" fillId="0" borderId="21" xfId="100" applyNumberFormat="1" applyFont="1" applyBorder="1" applyAlignment="1">
      <alignment/>
    </xf>
    <xf numFmtId="0" fontId="18" fillId="0" borderId="21" xfId="108" applyFont="1" applyBorder="1" applyAlignment="1">
      <alignment horizontal="center"/>
      <protection/>
    </xf>
    <xf numFmtId="210" fontId="46" fillId="0" borderId="21" xfId="100" applyNumberFormat="1" applyFont="1" applyBorder="1" applyAlignment="1">
      <alignment/>
    </xf>
    <xf numFmtId="0" fontId="46" fillId="0" borderId="21" xfId="108" applyFont="1" applyBorder="1">
      <alignment/>
      <protection/>
    </xf>
    <xf numFmtId="43" fontId="136" fillId="0" borderId="39" xfId="100" applyNumberFormat="1" applyFont="1" applyBorder="1" applyAlignment="1">
      <alignment/>
    </xf>
    <xf numFmtId="43" fontId="18" fillId="0" borderId="51" xfId="100" applyNumberFormat="1" applyFont="1" applyBorder="1" applyAlignment="1">
      <alignment/>
    </xf>
    <xf numFmtId="43" fontId="136" fillId="0" borderId="51" xfId="108" applyNumberFormat="1" applyFont="1" applyBorder="1">
      <alignment/>
      <protection/>
    </xf>
    <xf numFmtId="43" fontId="18" fillId="0" borderId="51" xfId="100" applyFont="1" applyBorder="1" applyAlignment="1">
      <alignment/>
    </xf>
    <xf numFmtId="0" fontId="56" fillId="0" borderId="51" xfId="108" applyFont="1" applyBorder="1">
      <alignment/>
      <protection/>
    </xf>
    <xf numFmtId="0" fontId="140" fillId="0" borderId="39" xfId="108" applyFont="1" applyBorder="1">
      <alignment/>
      <protection/>
    </xf>
    <xf numFmtId="0" fontId="55" fillId="0" borderId="39" xfId="108" applyFont="1" applyBorder="1" applyAlignment="1">
      <alignment horizontal="center"/>
      <protection/>
    </xf>
    <xf numFmtId="0" fontId="55" fillId="0" borderId="39" xfId="108" applyFont="1" applyBorder="1">
      <alignment/>
      <protection/>
    </xf>
    <xf numFmtId="211" fontId="18" fillId="0" borderId="39" xfId="100" applyNumberFormat="1" applyFont="1" applyBorder="1" applyAlignment="1">
      <alignment/>
    </xf>
    <xf numFmtId="43" fontId="136" fillId="0" borderId="46" xfId="100" applyFont="1" applyBorder="1" applyAlignment="1">
      <alignment/>
    </xf>
    <xf numFmtId="0" fontId="57" fillId="0" borderId="39" xfId="108" applyFont="1" applyBorder="1" applyAlignment="1">
      <alignment horizontal="center"/>
      <protection/>
    </xf>
    <xf numFmtId="212" fontId="46" fillId="0" borderId="46" xfId="108" applyNumberFormat="1" applyFont="1" applyBorder="1" applyAlignment="1">
      <alignment horizontal="center"/>
      <protection/>
    </xf>
    <xf numFmtId="43" fontId="136" fillId="0" borderId="39" xfId="108" applyNumberFormat="1" applyFont="1" applyFill="1" applyBorder="1">
      <alignment/>
      <protection/>
    </xf>
    <xf numFmtId="0" fontId="57" fillId="0" borderId="43" xfId="108" applyFont="1" applyBorder="1" applyAlignment="1">
      <alignment horizontal="center"/>
      <protection/>
    </xf>
    <xf numFmtId="43" fontId="18" fillId="0" borderId="43" xfId="100" applyNumberFormat="1" applyFont="1" applyBorder="1" applyAlignment="1">
      <alignment/>
    </xf>
    <xf numFmtId="43" fontId="136" fillId="0" borderId="43" xfId="100" applyFont="1" applyBorder="1" applyAlignment="1">
      <alignment/>
    </xf>
    <xf numFmtId="0" fontId="18" fillId="0" borderId="37" xfId="108" applyFont="1" applyBorder="1">
      <alignment/>
      <protection/>
    </xf>
    <xf numFmtId="43" fontId="18" fillId="0" borderId="36" xfId="100" applyNumberFormat="1" applyFont="1" applyBorder="1" applyAlignment="1">
      <alignment/>
    </xf>
    <xf numFmtId="43" fontId="136" fillId="0" borderId="36" xfId="100" applyFont="1" applyBorder="1" applyAlignment="1">
      <alignment/>
    </xf>
    <xf numFmtId="43" fontId="18" fillId="0" borderId="36" xfId="100" applyFont="1" applyBorder="1" applyAlignment="1">
      <alignment/>
    </xf>
    <xf numFmtId="210" fontId="46" fillId="0" borderId="46" xfId="100" applyNumberFormat="1" applyFont="1" applyBorder="1" applyAlignment="1">
      <alignment/>
    </xf>
    <xf numFmtId="0" fontId="46" fillId="0" borderId="46" xfId="108" applyFont="1" applyBorder="1">
      <alignment/>
      <protection/>
    </xf>
    <xf numFmtId="0" fontId="46" fillId="0" borderId="52" xfId="108" applyFont="1" applyBorder="1">
      <alignment/>
      <protection/>
    </xf>
    <xf numFmtId="0" fontId="46" fillId="0" borderId="44" xfId="108" applyFont="1" applyBorder="1">
      <alignment/>
      <protection/>
    </xf>
    <xf numFmtId="0" fontId="54" fillId="0" borderId="45" xfId="108" applyFont="1" applyBorder="1">
      <alignment/>
      <protection/>
    </xf>
    <xf numFmtId="43" fontId="136" fillId="0" borderId="46" xfId="108" applyNumberFormat="1" applyFont="1" applyBorder="1" applyAlignment="1">
      <alignment horizontal="center"/>
      <protection/>
    </xf>
    <xf numFmtId="193" fontId="136" fillId="0" borderId="43" xfId="100" applyNumberFormat="1" applyFont="1" applyBorder="1" applyAlignment="1">
      <alignment/>
    </xf>
    <xf numFmtId="43" fontId="18" fillId="0" borderId="51" xfId="100" applyFont="1" applyBorder="1" applyAlignment="1">
      <alignment/>
    </xf>
    <xf numFmtId="211" fontId="18" fillId="0" borderId="51" xfId="100" applyNumberFormat="1" applyFont="1" applyBorder="1" applyAlignment="1">
      <alignment/>
    </xf>
    <xf numFmtId="0" fontId="54" fillId="0" borderId="51" xfId="108" applyFont="1" applyBorder="1" applyAlignment="1">
      <alignment horizontal="center"/>
      <protection/>
    </xf>
    <xf numFmtId="0" fontId="57" fillId="0" borderId="51" xfId="108" applyFont="1" applyBorder="1" applyAlignment="1">
      <alignment horizontal="center"/>
      <protection/>
    </xf>
    <xf numFmtId="43" fontId="136" fillId="0" borderId="51" xfId="100" applyFont="1" applyBorder="1" applyAlignment="1">
      <alignment/>
    </xf>
    <xf numFmtId="0" fontId="18" fillId="0" borderId="56" xfId="108" applyFont="1" applyBorder="1">
      <alignment/>
      <protection/>
    </xf>
    <xf numFmtId="0" fontId="18" fillId="0" borderId="57" xfId="108" applyFont="1" applyBorder="1">
      <alignment/>
      <protection/>
    </xf>
    <xf numFmtId="0" fontId="18" fillId="0" borderId="58" xfId="108" applyFont="1" applyBorder="1">
      <alignment/>
      <protection/>
    </xf>
    <xf numFmtId="210" fontId="18" fillId="0" borderId="56" xfId="100" applyNumberFormat="1" applyFont="1" applyBorder="1" applyAlignment="1">
      <alignment/>
    </xf>
    <xf numFmtId="0" fontId="18" fillId="0" borderId="56" xfId="108" applyFont="1" applyBorder="1" applyAlignment="1">
      <alignment horizontal="center"/>
      <protection/>
    </xf>
    <xf numFmtId="0" fontId="136" fillId="0" borderId="56" xfId="108" applyFont="1" applyBorder="1" applyAlignment="1">
      <alignment horizontal="center"/>
      <protection/>
    </xf>
    <xf numFmtId="210" fontId="46" fillId="0" borderId="56" xfId="100" applyNumberFormat="1" applyFont="1" applyBorder="1" applyAlignment="1">
      <alignment/>
    </xf>
    <xf numFmtId="0" fontId="46" fillId="0" borderId="56" xfId="108" applyFont="1" applyBorder="1">
      <alignment/>
      <protection/>
    </xf>
    <xf numFmtId="0" fontId="18" fillId="0" borderId="59" xfId="108" applyFont="1" applyBorder="1">
      <alignment/>
      <protection/>
    </xf>
    <xf numFmtId="0" fontId="18" fillId="0" borderId="60" xfId="108" applyFont="1" applyBorder="1">
      <alignment/>
      <protection/>
    </xf>
    <xf numFmtId="0" fontId="18" fillId="0" borderId="61" xfId="108" applyFont="1" applyBorder="1">
      <alignment/>
      <protection/>
    </xf>
    <xf numFmtId="210" fontId="18" fillId="0" borderId="59" xfId="100" applyNumberFormat="1" applyFont="1" applyBorder="1" applyAlignment="1">
      <alignment/>
    </xf>
    <xf numFmtId="0" fontId="18" fillId="0" borderId="59" xfId="108" applyFont="1" applyBorder="1" applyAlignment="1">
      <alignment horizontal="center"/>
      <protection/>
    </xf>
    <xf numFmtId="0" fontId="136" fillId="0" borderId="59" xfId="108" applyFont="1" applyBorder="1" applyAlignment="1">
      <alignment horizontal="center"/>
      <protection/>
    </xf>
    <xf numFmtId="210" fontId="46" fillId="0" borderId="59" xfId="100" applyNumberFormat="1" applyFont="1" applyBorder="1" applyAlignment="1">
      <alignment/>
    </xf>
    <xf numFmtId="0" fontId="18" fillId="43" borderId="0" xfId="108" applyFont="1" applyFill="1">
      <alignment/>
      <protection/>
    </xf>
    <xf numFmtId="0" fontId="18" fillId="43" borderId="62" xfId="108" applyFont="1" applyFill="1" applyBorder="1" applyAlignment="1" applyProtection="1">
      <alignment/>
      <protection locked="0"/>
    </xf>
    <xf numFmtId="0" fontId="18" fillId="43" borderId="62" xfId="108" applyFont="1" applyFill="1" applyBorder="1" applyAlignment="1" applyProtection="1">
      <alignment/>
      <protection hidden="1"/>
    </xf>
    <xf numFmtId="17" fontId="18" fillId="43" borderId="62" xfId="108" applyNumberFormat="1" applyFont="1" applyFill="1" applyBorder="1" applyAlignment="1" applyProtection="1">
      <alignment/>
      <protection hidden="1"/>
    </xf>
    <xf numFmtId="0" fontId="18" fillId="43" borderId="62" xfId="108" applyFont="1" applyFill="1" applyBorder="1" applyAlignment="1" applyProtection="1">
      <alignment horizontal="left"/>
      <protection hidden="1"/>
    </xf>
    <xf numFmtId="0" fontId="18" fillId="43" borderId="62" xfId="108" applyFont="1" applyFill="1" applyBorder="1" applyAlignment="1" applyProtection="1">
      <alignment horizontal="center"/>
      <protection locked="0"/>
    </xf>
    <xf numFmtId="0" fontId="18" fillId="43" borderId="62" xfId="108" applyFont="1" applyFill="1" applyBorder="1" applyAlignment="1" applyProtection="1">
      <alignment horizontal="right"/>
      <protection hidden="1"/>
    </xf>
    <xf numFmtId="0" fontId="46" fillId="43" borderId="62" xfId="108" applyFont="1" applyFill="1" applyBorder="1" applyAlignment="1" applyProtection="1">
      <alignment/>
      <protection hidden="1"/>
    </xf>
    <xf numFmtId="0" fontId="18" fillId="43" borderId="63" xfId="108" applyFont="1" applyFill="1" applyBorder="1" applyAlignment="1" applyProtection="1">
      <alignment/>
      <protection hidden="1"/>
    </xf>
    <xf numFmtId="0" fontId="18" fillId="43" borderId="64" xfId="108" applyFont="1" applyFill="1" applyBorder="1" applyAlignment="1" applyProtection="1">
      <alignment horizontal="right"/>
      <protection hidden="1"/>
    </xf>
    <xf numFmtId="0" fontId="18" fillId="43" borderId="64" xfId="108" applyFont="1" applyFill="1" applyBorder="1" applyAlignment="1" applyProtection="1">
      <alignment/>
      <protection hidden="1"/>
    </xf>
    <xf numFmtId="0" fontId="18" fillId="43" borderId="0" xfId="108" applyFont="1" applyFill="1" applyProtection="1">
      <alignment/>
      <protection hidden="1"/>
    </xf>
    <xf numFmtId="0" fontId="46" fillId="43" borderId="59" xfId="108" applyFont="1" applyFill="1" applyBorder="1" applyAlignment="1" applyProtection="1">
      <alignment horizontal="center" vertical="center"/>
      <protection hidden="1"/>
    </xf>
    <xf numFmtId="41" fontId="18" fillId="43" borderId="65" xfId="108" applyNumberFormat="1" applyFont="1" applyFill="1" applyBorder="1" applyProtection="1">
      <alignment/>
      <protection hidden="1"/>
    </xf>
    <xf numFmtId="41" fontId="18" fillId="43" borderId="46" xfId="108" applyNumberFormat="1" applyFont="1" applyFill="1" applyBorder="1" applyProtection="1">
      <alignment/>
      <protection hidden="1"/>
    </xf>
    <xf numFmtId="0" fontId="18" fillId="43" borderId="39" xfId="108" applyFont="1" applyFill="1" applyBorder="1" applyProtection="1">
      <alignment/>
      <protection hidden="1"/>
    </xf>
    <xf numFmtId="0" fontId="18" fillId="43" borderId="56" xfId="108" applyFont="1" applyFill="1" applyBorder="1" applyProtection="1">
      <alignment/>
      <protection hidden="1"/>
    </xf>
    <xf numFmtId="0" fontId="18" fillId="43" borderId="0" xfId="108" applyFont="1" applyFill="1" applyBorder="1" applyAlignment="1" applyProtection="1">
      <alignment/>
      <protection hidden="1"/>
    </xf>
    <xf numFmtId="0" fontId="18" fillId="43" borderId="0" xfId="108" applyFont="1" applyFill="1" applyBorder="1" applyAlignment="1" applyProtection="1">
      <alignment vertical="top"/>
      <protection hidden="1"/>
    </xf>
    <xf numFmtId="210" fontId="18" fillId="43" borderId="0" xfId="100" applyNumberFormat="1" applyFont="1" applyFill="1" applyBorder="1" applyAlignment="1" applyProtection="1">
      <alignment vertical="top"/>
      <protection hidden="1"/>
    </xf>
    <xf numFmtId="0" fontId="48" fillId="43" borderId="0" xfId="108" applyFont="1" applyFill="1" applyBorder="1" applyAlignment="1" applyProtection="1">
      <alignment horizontal="right" vertical="top"/>
      <protection hidden="1"/>
    </xf>
    <xf numFmtId="0" fontId="18" fillId="43" borderId="0" xfId="108" applyFont="1" applyFill="1" applyBorder="1" applyAlignment="1" applyProtection="1">
      <alignment horizontal="center"/>
      <protection hidden="1"/>
    </xf>
    <xf numFmtId="0" fontId="49" fillId="43" borderId="0" xfId="108" applyFont="1" applyFill="1" applyAlignment="1" applyProtection="1">
      <alignment vertical="top"/>
      <protection hidden="1"/>
    </xf>
    <xf numFmtId="0" fontId="18" fillId="43" borderId="66" xfId="108" applyFont="1" applyFill="1" applyBorder="1" applyAlignment="1" applyProtection="1">
      <alignment/>
      <protection hidden="1"/>
    </xf>
    <xf numFmtId="0" fontId="50" fillId="43" borderId="66" xfId="108" applyFont="1" applyFill="1" applyBorder="1" applyAlignment="1" applyProtection="1">
      <alignment/>
      <protection locked="0"/>
    </xf>
    <xf numFmtId="41" fontId="18" fillId="43" borderId="39" xfId="108" applyNumberFormat="1" applyFont="1" applyFill="1" applyBorder="1" applyProtection="1">
      <alignment/>
      <protection hidden="1"/>
    </xf>
    <xf numFmtId="0" fontId="18" fillId="43" borderId="0" xfId="108" applyFont="1" applyFill="1" applyBorder="1" applyProtection="1">
      <alignment/>
      <protection hidden="1"/>
    </xf>
    <xf numFmtId="0" fontId="48" fillId="43" borderId="66" xfId="108" applyFont="1" applyFill="1" applyBorder="1" applyAlignment="1" applyProtection="1">
      <alignment horizontal="right"/>
      <protection hidden="1"/>
    </xf>
    <xf numFmtId="210" fontId="46" fillId="43" borderId="66" xfId="100" applyNumberFormat="1" applyFont="1" applyFill="1" applyBorder="1" applyAlignment="1" applyProtection="1">
      <alignment vertical="top"/>
      <protection locked="0"/>
    </xf>
    <xf numFmtId="0" fontId="18" fillId="43" borderId="66" xfId="108" applyNumberFormat="1" applyFont="1" applyFill="1" applyBorder="1" applyAlignment="1" applyProtection="1">
      <alignment/>
      <protection/>
    </xf>
    <xf numFmtId="210" fontId="18" fillId="43" borderId="66" xfId="100" applyNumberFormat="1" applyFont="1" applyFill="1" applyBorder="1" applyAlignment="1" applyProtection="1">
      <alignment/>
      <protection/>
    </xf>
    <xf numFmtId="0" fontId="18" fillId="43" borderId="62" xfId="108" applyNumberFormat="1" applyFont="1" applyFill="1" applyBorder="1" applyAlignment="1" applyProtection="1">
      <alignment/>
      <protection/>
    </xf>
    <xf numFmtId="210" fontId="46" fillId="43" borderId="66" xfId="100" applyNumberFormat="1" applyFont="1" applyFill="1" applyBorder="1" applyAlignment="1" applyProtection="1">
      <alignment horizontal="center"/>
      <protection/>
    </xf>
    <xf numFmtId="0" fontId="18" fillId="43" borderId="62" xfId="108" applyFont="1" applyFill="1" applyBorder="1" applyAlignment="1" applyProtection="1">
      <alignment/>
      <protection/>
    </xf>
    <xf numFmtId="49" fontId="46" fillId="43" borderId="62" xfId="108" applyNumberFormat="1" applyFont="1" applyFill="1" applyBorder="1" applyAlignment="1" applyProtection="1">
      <alignment/>
      <protection hidden="1"/>
    </xf>
    <xf numFmtId="0" fontId="46" fillId="43" borderId="62" xfId="108" applyFont="1" applyFill="1" applyBorder="1" applyAlignment="1" applyProtection="1">
      <alignment horizontal="center"/>
      <protection/>
    </xf>
    <xf numFmtId="0" fontId="18" fillId="43" borderId="62" xfId="108" applyFont="1" applyFill="1" applyBorder="1" applyAlignment="1" applyProtection="1">
      <alignment horizontal="center"/>
      <protection/>
    </xf>
    <xf numFmtId="0" fontId="18" fillId="43" borderId="62" xfId="108" applyFont="1" applyFill="1" applyBorder="1" applyAlignment="1" applyProtection="1">
      <alignment horizontal="left"/>
      <protection/>
    </xf>
    <xf numFmtId="0" fontId="18" fillId="43" borderId="67" xfId="108" applyFont="1" applyFill="1" applyBorder="1" applyProtection="1">
      <alignment/>
      <protection locked="0"/>
    </xf>
    <xf numFmtId="0" fontId="18" fillId="43" borderId="67" xfId="108" applyFont="1" applyFill="1" applyBorder="1" applyAlignment="1" applyProtection="1">
      <alignment horizontal="right"/>
      <protection locked="0"/>
    </xf>
    <xf numFmtId="210" fontId="46" fillId="43" borderId="68" xfId="100" applyNumberFormat="1" applyFont="1" applyFill="1" applyBorder="1" applyAlignment="1" applyProtection="1">
      <alignment horizontal="center" vertical="center" wrapText="1"/>
      <protection hidden="1"/>
    </xf>
    <xf numFmtId="210" fontId="51" fillId="43" borderId="59" xfId="100" applyNumberFormat="1" applyFont="1" applyFill="1" applyBorder="1" applyAlignment="1" applyProtection="1">
      <alignment horizontal="center" vertical="top"/>
      <protection hidden="1"/>
    </xf>
    <xf numFmtId="41" fontId="46" fillId="43" borderId="46" xfId="108" applyNumberFormat="1" applyFont="1" applyFill="1" applyBorder="1" applyProtection="1">
      <alignment/>
      <protection locked="0"/>
    </xf>
    <xf numFmtId="191" fontId="46" fillId="43" borderId="46" xfId="98" applyFont="1" applyFill="1" applyBorder="1" applyAlignment="1" applyProtection="1">
      <alignment horizontal="right"/>
      <protection locked="0"/>
    </xf>
    <xf numFmtId="41" fontId="18" fillId="43" borderId="39" xfId="78" applyNumberFormat="1" applyFont="1" applyFill="1" applyBorder="1" applyProtection="1">
      <alignment/>
      <protection locked="0"/>
    </xf>
    <xf numFmtId="191" fontId="18" fillId="43" borderId="39" xfId="98" applyFont="1" applyFill="1" applyBorder="1" applyAlignment="1" applyProtection="1">
      <alignment horizontal="right"/>
      <protection locked="0"/>
    </xf>
    <xf numFmtId="41" fontId="18" fillId="43" borderId="39" xfId="108" applyNumberFormat="1" applyFont="1" applyFill="1" applyBorder="1" applyProtection="1">
      <alignment/>
      <protection locked="0"/>
    </xf>
    <xf numFmtId="41" fontId="18" fillId="43" borderId="51" xfId="108" applyNumberFormat="1" applyFont="1" applyFill="1" applyBorder="1" applyProtection="1">
      <alignment/>
      <protection locked="0"/>
    </xf>
    <xf numFmtId="191" fontId="18" fillId="43" borderId="51" xfId="98" applyFont="1" applyFill="1" applyBorder="1" applyAlignment="1" applyProtection="1">
      <alignment horizontal="right"/>
      <protection locked="0"/>
    </xf>
    <xf numFmtId="41" fontId="46" fillId="43" borderId="4" xfId="108" applyNumberFormat="1" applyFont="1" applyFill="1" applyBorder="1" applyProtection="1">
      <alignment/>
      <protection locked="0"/>
    </xf>
    <xf numFmtId="0" fontId="46" fillId="43" borderId="4" xfId="108" applyFont="1" applyFill="1" applyBorder="1" applyProtection="1">
      <alignment/>
      <protection locked="0"/>
    </xf>
    <xf numFmtId="41" fontId="46" fillId="43" borderId="0" xfId="108" applyNumberFormat="1" applyFont="1" applyFill="1" applyBorder="1" applyProtection="1">
      <alignment/>
      <protection locked="0"/>
    </xf>
    <xf numFmtId="49" fontId="46" fillId="43" borderId="0" xfId="108" applyNumberFormat="1" applyFont="1" applyFill="1" applyBorder="1" applyAlignment="1" applyProtection="1">
      <alignment horizontal="center"/>
      <protection locked="0"/>
    </xf>
    <xf numFmtId="0" fontId="46" fillId="43" borderId="0" xfId="108" applyFont="1" applyFill="1" applyBorder="1" applyAlignment="1" applyProtection="1">
      <alignment horizontal="center"/>
      <protection locked="0"/>
    </xf>
    <xf numFmtId="210" fontId="46" fillId="43" borderId="0" xfId="100" applyNumberFormat="1" applyFont="1" applyFill="1" applyBorder="1" applyAlignment="1" applyProtection="1">
      <alignment/>
      <protection locked="0"/>
    </xf>
    <xf numFmtId="210" fontId="46" fillId="43" borderId="0" xfId="100" applyNumberFormat="1" applyFont="1" applyFill="1" applyBorder="1" applyAlignment="1" applyProtection="1">
      <alignment horizontal="center"/>
      <protection locked="0"/>
    </xf>
    <xf numFmtId="191" fontId="46" fillId="43" borderId="0" xfId="98" applyFont="1" applyFill="1" applyBorder="1" applyAlignment="1" applyProtection="1">
      <alignment/>
      <protection locked="0"/>
    </xf>
    <xf numFmtId="0" fontId="46" fillId="43" borderId="0" xfId="108" applyFont="1" applyFill="1" applyBorder="1" applyProtection="1">
      <alignment/>
      <protection locked="0"/>
    </xf>
    <xf numFmtId="17" fontId="18" fillId="43" borderId="62" xfId="108" applyNumberFormat="1" applyFont="1" applyFill="1" applyBorder="1" applyAlignment="1" applyProtection="1">
      <alignment/>
      <protection locked="0"/>
    </xf>
    <xf numFmtId="49" fontId="59" fillId="0" borderId="69" xfId="0" applyNumberFormat="1" applyFont="1" applyBorder="1" applyAlignment="1">
      <alignment horizontal="left" vertical="center"/>
    </xf>
    <xf numFmtId="49" fontId="59" fillId="0" borderId="70" xfId="0" applyNumberFormat="1" applyFont="1" applyBorder="1" applyAlignment="1">
      <alignment horizontal="left" vertical="center"/>
    </xf>
    <xf numFmtId="191" fontId="46" fillId="43" borderId="65" xfId="98" applyFont="1" applyFill="1" applyBorder="1" applyAlignment="1" applyProtection="1">
      <alignment horizontal="right"/>
      <protection locked="0"/>
    </xf>
    <xf numFmtId="191" fontId="59" fillId="0" borderId="39" xfId="98" applyFont="1" applyBorder="1" applyAlignment="1">
      <alignment horizontal="center" vertical="center"/>
    </xf>
    <xf numFmtId="191" fontId="59" fillId="43" borderId="39" xfId="98" applyFont="1" applyFill="1" applyBorder="1" applyAlignment="1">
      <alignment horizontal="center" vertical="center"/>
    </xf>
    <xf numFmtId="191" fontId="59" fillId="0" borderId="71" xfId="98" applyFont="1" applyBorder="1" applyAlignment="1">
      <alignment horizontal="center" vertical="center"/>
    </xf>
    <xf numFmtId="191" fontId="59" fillId="43" borderId="71" xfId="98" applyFont="1" applyFill="1" applyBorder="1" applyAlignment="1">
      <alignment horizontal="center" vertical="center"/>
    </xf>
    <xf numFmtId="49" fontId="59" fillId="0" borderId="39" xfId="98" applyNumberFormat="1" applyFont="1" applyBorder="1" applyAlignment="1">
      <alignment horizontal="center" vertical="center"/>
    </xf>
    <xf numFmtId="49" fontId="59" fillId="43" borderId="39" xfId="98" applyNumberFormat="1" applyFont="1" applyFill="1" applyBorder="1" applyAlignment="1">
      <alignment horizontal="center" vertical="center"/>
    </xf>
    <xf numFmtId="191" fontId="59" fillId="0" borderId="39" xfId="98" applyFont="1" applyBorder="1" applyAlignment="1">
      <alignment horizontal="right" vertical="center"/>
    </xf>
    <xf numFmtId="191" fontId="59" fillId="43" borderId="39" xfId="98" applyFont="1" applyFill="1" applyBorder="1" applyAlignment="1">
      <alignment horizontal="right" vertical="center"/>
    </xf>
    <xf numFmtId="191" fontId="46" fillId="43" borderId="72" xfId="98" applyFont="1" applyFill="1" applyBorder="1" applyAlignment="1" applyProtection="1">
      <alignment horizontal="right"/>
      <protection locked="0"/>
    </xf>
    <xf numFmtId="49" fontId="59" fillId="0" borderId="62" xfId="0" applyNumberFormat="1" applyFont="1" applyBorder="1" applyAlignment="1">
      <alignment horizontal="left" vertical="center"/>
    </xf>
    <xf numFmtId="191" fontId="59" fillId="43" borderId="41" xfId="98" applyFont="1" applyFill="1" applyBorder="1" applyAlignment="1" applyProtection="1">
      <alignment horizontal="right"/>
      <protection locked="0"/>
    </xf>
    <xf numFmtId="191" fontId="18" fillId="43" borderId="21" xfId="98" applyFont="1" applyFill="1" applyBorder="1" applyAlignment="1" applyProtection="1">
      <alignment horizontal="right"/>
      <protection locked="0"/>
    </xf>
    <xf numFmtId="191" fontId="59" fillId="43" borderId="39" xfId="98" applyFont="1" applyFill="1" applyBorder="1" applyAlignment="1" applyProtection="1">
      <alignment horizontal="right"/>
      <protection locked="0"/>
    </xf>
    <xf numFmtId="191" fontId="59" fillId="43" borderId="43" xfId="98" applyFont="1" applyFill="1" applyBorder="1" applyAlignment="1" applyProtection="1">
      <alignment horizontal="right"/>
      <protection locked="0"/>
    </xf>
    <xf numFmtId="41" fontId="60" fillId="43" borderId="4" xfId="108" applyNumberFormat="1" applyFont="1" applyFill="1" applyBorder="1" applyProtection="1">
      <alignment/>
      <protection locked="0"/>
    </xf>
    <xf numFmtId="0" fontId="60" fillId="43" borderId="4" xfId="108" applyFont="1" applyFill="1" applyBorder="1" applyAlignment="1" applyProtection="1">
      <alignment horizontal="center"/>
      <protection locked="0"/>
    </xf>
    <xf numFmtId="210" fontId="60" fillId="43" borderId="4" xfId="100" applyNumberFormat="1" applyFont="1" applyFill="1" applyBorder="1" applyAlignment="1" applyProtection="1">
      <alignment/>
      <protection locked="0"/>
    </xf>
    <xf numFmtId="210" fontId="60" fillId="43" borderId="4" xfId="100" applyNumberFormat="1" applyFont="1" applyFill="1" applyBorder="1" applyAlignment="1" applyProtection="1">
      <alignment horizontal="center"/>
      <protection locked="0"/>
    </xf>
    <xf numFmtId="191" fontId="60" fillId="43" borderId="4" xfId="98" applyFont="1" applyFill="1" applyBorder="1" applyAlignment="1" applyProtection="1">
      <alignment/>
      <protection locked="0"/>
    </xf>
    <xf numFmtId="191" fontId="59" fillId="43" borderId="39" xfId="98" applyNumberFormat="1" applyFont="1" applyFill="1" applyBorder="1" applyAlignment="1" applyProtection="1">
      <alignment horizontal="right"/>
      <protection locked="0"/>
    </xf>
    <xf numFmtId="191" fontId="59" fillId="43" borderId="41" xfId="98" applyFont="1" applyFill="1" applyBorder="1" applyAlignment="1" applyProtection="1">
      <alignment horizontal="center"/>
      <protection locked="0"/>
    </xf>
    <xf numFmtId="191" fontId="59" fillId="43" borderId="51" xfId="98" applyFont="1" applyFill="1" applyBorder="1" applyAlignment="1" applyProtection="1">
      <alignment horizontal="right"/>
      <protection locked="0"/>
    </xf>
    <xf numFmtId="49" fontId="59" fillId="43" borderId="69" xfId="0" applyNumberFormat="1" applyFont="1" applyFill="1" applyBorder="1" applyAlignment="1">
      <alignment horizontal="left" vertical="center"/>
    </xf>
    <xf numFmtId="191" fontId="59" fillId="0" borderId="40" xfId="98" applyFont="1" applyBorder="1" applyAlignment="1">
      <alignment horizontal="center" vertical="center"/>
    </xf>
    <xf numFmtId="191" fontId="59" fillId="43" borderId="40" xfId="98" applyFont="1" applyFill="1" applyBorder="1" applyAlignment="1">
      <alignment horizontal="center" vertical="center"/>
    </xf>
    <xf numFmtId="49" fontId="59" fillId="0" borderId="39" xfId="0" applyNumberFormat="1" applyFont="1" applyBorder="1" applyAlignment="1">
      <alignment horizontal="left" vertical="center"/>
    </xf>
    <xf numFmtId="41" fontId="18" fillId="43" borderId="43" xfId="108" applyNumberFormat="1" applyFont="1" applyFill="1" applyBorder="1" applyProtection="1">
      <alignment/>
      <protection locked="0"/>
    </xf>
    <xf numFmtId="49" fontId="59" fillId="0" borderId="51" xfId="0" applyNumberFormat="1" applyFont="1" applyBorder="1" applyAlignment="1">
      <alignment horizontal="left" vertical="center"/>
    </xf>
    <xf numFmtId="0" fontId="46" fillId="43" borderId="0" xfId="108" applyFont="1" applyFill="1" applyBorder="1" applyAlignment="1" applyProtection="1">
      <alignment horizontal="left"/>
      <protection/>
    </xf>
    <xf numFmtId="49" fontId="18" fillId="43" borderId="0" xfId="108" applyNumberFormat="1" applyFont="1" applyFill="1" applyBorder="1" applyAlignment="1" applyProtection="1">
      <alignment horizontal="left"/>
      <protection hidden="1"/>
    </xf>
    <xf numFmtId="0" fontId="18" fillId="43" borderId="0" xfId="108" applyNumberFormat="1" applyFont="1" applyFill="1" applyBorder="1" applyAlignment="1" applyProtection="1">
      <alignment horizontal="left"/>
      <protection hidden="1"/>
    </xf>
    <xf numFmtId="49" fontId="46" fillId="43" borderId="0" xfId="108" applyNumberFormat="1" applyFont="1" applyFill="1" applyBorder="1" applyAlignment="1" applyProtection="1">
      <alignment/>
      <protection hidden="1"/>
    </xf>
    <xf numFmtId="0" fontId="46" fillId="43" borderId="0" xfId="108" applyFont="1" applyFill="1" applyBorder="1" applyAlignment="1" applyProtection="1">
      <alignment horizontal="center"/>
      <protection/>
    </xf>
    <xf numFmtId="0" fontId="18" fillId="43" borderId="0" xfId="108" applyFont="1" applyFill="1" applyBorder="1" applyAlignment="1" applyProtection="1">
      <alignment horizontal="center"/>
      <protection/>
    </xf>
    <xf numFmtId="0" fontId="18" fillId="43" borderId="0" xfId="108" applyFont="1" applyFill="1" applyBorder="1" applyAlignment="1" applyProtection="1">
      <alignment horizontal="left"/>
      <protection/>
    </xf>
    <xf numFmtId="191" fontId="59" fillId="0" borderId="70" xfId="98" applyFont="1" applyBorder="1" applyAlignment="1">
      <alignment horizontal="center" vertical="center"/>
    </xf>
    <xf numFmtId="191" fontId="59" fillId="43" borderId="70" xfId="98" applyFont="1" applyFill="1" applyBorder="1" applyAlignment="1">
      <alignment horizontal="center" vertical="center"/>
    </xf>
    <xf numFmtId="49" fontId="59" fillId="0" borderId="43" xfId="98" applyNumberFormat="1" applyFont="1" applyBorder="1" applyAlignment="1">
      <alignment horizontal="center" vertical="center"/>
    </xf>
    <xf numFmtId="0" fontId="46" fillId="43" borderId="66" xfId="108" applyNumberFormat="1" applyFont="1" applyFill="1" applyBorder="1" applyAlignment="1" applyProtection="1">
      <alignment horizontal="right"/>
      <protection/>
    </xf>
    <xf numFmtId="0" fontId="63" fillId="0" borderId="0" xfId="110" applyFont="1" applyProtection="1">
      <alignment/>
      <protection/>
    </xf>
    <xf numFmtId="0" fontId="64" fillId="8" borderId="73" xfId="110" applyFont="1" applyFill="1" applyBorder="1" applyAlignment="1" applyProtection="1">
      <alignment/>
      <protection/>
    </xf>
    <xf numFmtId="0" fontId="64" fillId="8" borderId="0" xfId="110" applyFont="1" applyFill="1" applyBorder="1" applyAlignment="1" applyProtection="1">
      <alignment/>
      <protection/>
    </xf>
    <xf numFmtId="0" fontId="63" fillId="8" borderId="0" xfId="110" applyFont="1" applyFill="1" applyBorder="1" applyProtection="1">
      <alignment/>
      <protection/>
    </xf>
    <xf numFmtId="0" fontId="65" fillId="8" borderId="0" xfId="110" applyFont="1" applyFill="1" applyBorder="1" applyAlignment="1" applyProtection="1">
      <alignment/>
      <protection/>
    </xf>
    <xf numFmtId="0" fontId="65" fillId="8" borderId="74" xfId="110" applyFont="1" applyFill="1" applyBorder="1" applyAlignment="1" applyProtection="1">
      <alignment/>
      <protection/>
    </xf>
    <xf numFmtId="0" fontId="63" fillId="0" borderId="0" xfId="110" applyFont="1" applyAlignment="1" applyProtection="1">
      <alignment horizontal="center"/>
      <protection/>
    </xf>
    <xf numFmtId="0" fontId="66" fillId="0" borderId="75" xfId="110" applyFont="1" applyBorder="1" applyAlignment="1" applyProtection="1">
      <alignment horizontal="center"/>
      <protection/>
    </xf>
    <xf numFmtId="0" fontId="63" fillId="0" borderId="76" xfId="109" applyFont="1" applyBorder="1" applyAlignment="1" applyProtection="1">
      <alignment/>
      <protection/>
    </xf>
    <xf numFmtId="0" fontId="64" fillId="45" borderId="73" xfId="110" applyFont="1" applyFill="1" applyBorder="1" applyAlignment="1" applyProtection="1">
      <alignment/>
      <protection/>
    </xf>
    <xf numFmtId="0" fontId="64" fillId="45" borderId="0" xfId="110" applyFont="1" applyFill="1" applyBorder="1" applyAlignment="1" applyProtection="1">
      <alignment/>
      <protection/>
    </xf>
    <xf numFmtId="0" fontId="63" fillId="45" borderId="0" xfId="110" applyFont="1" applyFill="1" applyBorder="1" applyProtection="1">
      <alignment/>
      <protection/>
    </xf>
    <xf numFmtId="0" fontId="65" fillId="45" borderId="0" xfId="110" applyFont="1" applyFill="1" applyBorder="1" applyAlignment="1" applyProtection="1">
      <alignment/>
      <protection/>
    </xf>
    <xf numFmtId="0" fontId="65" fillId="45" borderId="74" xfId="110" applyFont="1" applyFill="1" applyBorder="1" applyAlignment="1" applyProtection="1">
      <alignment/>
      <protection/>
    </xf>
    <xf numFmtId="0" fontId="65" fillId="0" borderId="77" xfId="110" applyFont="1" applyBorder="1" applyAlignment="1" applyProtection="1">
      <alignment horizontal="center"/>
      <protection/>
    </xf>
    <xf numFmtId="0" fontId="65" fillId="0" borderId="78" xfId="110" applyFont="1" applyBorder="1" applyAlignment="1" applyProtection="1">
      <alignment horizontal="center"/>
      <protection/>
    </xf>
    <xf numFmtId="43" fontId="63" fillId="0" borderId="0" xfId="101" applyFont="1" applyAlignment="1" applyProtection="1">
      <alignment/>
      <protection/>
    </xf>
    <xf numFmtId="0" fontId="63" fillId="0" borderId="75" xfId="110" applyFont="1" applyBorder="1" applyAlignment="1" applyProtection="1">
      <alignment horizontal="center"/>
      <protection/>
    </xf>
    <xf numFmtId="0" fontId="68" fillId="0" borderId="79" xfId="110" applyFont="1" applyBorder="1" applyAlignment="1" applyProtection="1">
      <alignment horizontal="center"/>
      <protection/>
    </xf>
    <xf numFmtId="0" fontId="63" fillId="45" borderId="73" xfId="110" applyFont="1" applyFill="1" applyBorder="1" applyProtection="1">
      <alignment/>
      <protection/>
    </xf>
    <xf numFmtId="0" fontId="63" fillId="45" borderId="0" xfId="110" applyFont="1" applyFill="1" applyBorder="1" applyAlignment="1" applyProtection="1">
      <alignment/>
      <protection/>
    </xf>
    <xf numFmtId="0" fontId="63" fillId="45" borderId="0" xfId="110" applyFont="1" applyFill="1" applyBorder="1" applyAlignment="1" applyProtection="1">
      <alignment horizontal="right"/>
      <protection/>
    </xf>
    <xf numFmtId="43" fontId="141" fillId="45" borderId="0" xfId="101" applyFont="1" applyFill="1" applyBorder="1" applyAlignment="1" applyProtection="1" quotePrefix="1">
      <alignment/>
      <protection/>
    </xf>
    <xf numFmtId="43" fontId="63" fillId="45" borderId="0" xfId="101" applyFont="1" applyFill="1" applyBorder="1" applyAlignment="1" applyProtection="1" quotePrefix="1">
      <alignment/>
      <protection/>
    </xf>
    <xf numFmtId="43" fontId="63" fillId="45" borderId="74" xfId="101" applyFont="1" applyFill="1" applyBorder="1" applyAlignment="1" applyProtection="1" quotePrefix="1">
      <alignment/>
      <protection/>
    </xf>
    <xf numFmtId="0" fontId="63" fillId="0" borderId="80" xfId="110" applyFont="1" applyBorder="1" applyProtection="1">
      <alignment/>
      <protection/>
    </xf>
    <xf numFmtId="0" fontId="63" fillId="0" borderId="81" xfId="110" applyFont="1" applyBorder="1" applyProtection="1">
      <alignment/>
      <protection/>
    </xf>
    <xf numFmtId="0" fontId="69" fillId="0" borderId="79" xfId="110" applyFont="1" applyBorder="1" applyAlignment="1" applyProtection="1">
      <alignment horizontal="center"/>
      <protection/>
    </xf>
    <xf numFmtId="218" fontId="70" fillId="0" borderId="79" xfId="110" applyNumberFormat="1" applyFont="1" applyBorder="1" applyAlignment="1" applyProtection="1">
      <alignment horizontal="center"/>
      <protection/>
    </xf>
    <xf numFmtId="0" fontId="70" fillId="0" borderId="79" xfId="110" applyFont="1" applyBorder="1" applyAlignment="1" applyProtection="1">
      <alignment horizontal="center"/>
      <protection/>
    </xf>
    <xf numFmtId="0" fontId="63" fillId="0" borderId="80" xfId="110" applyNumberFormat="1" applyFont="1" applyBorder="1" applyAlignment="1" applyProtection="1">
      <alignment horizontal="left"/>
      <protection/>
    </xf>
    <xf numFmtId="0" fontId="63" fillId="0" borderId="81" xfId="110" applyNumberFormat="1" applyFont="1" applyBorder="1" applyAlignment="1" applyProtection="1">
      <alignment horizontal="left"/>
      <protection/>
    </xf>
    <xf numFmtId="2" fontId="63" fillId="0" borderId="0" xfId="110" applyNumberFormat="1" applyFont="1" applyProtection="1">
      <alignment/>
      <protection/>
    </xf>
    <xf numFmtId="2" fontId="63" fillId="45" borderId="0" xfId="101" applyNumberFormat="1" applyFont="1" applyFill="1" applyBorder="1" applyAlignment="1" applyProtection="1">
      <alignment horizontal="center"/>
      <protection/>
    </xf>
    <xf numFmtId="2" fontId="63" fillId="45" borderId="0" xfId="101" applyNumberFormat="1" applyFont="1" applyFill="1" applyBorder="1" applyAlignment="1" applyProtection="1">
      <alignment horizontal="center"/>
      <protection locked="0"/>
    </xf>
    <xf numFmtId="0" fontId="63" fillId="0" borderId="80" xfId="110" applyNumberFormat="1" applyFont="1" applyFill="1" applyBorder="1" applyAlignment="1" applyProtection="1">
      <alignment horizontal="left"/>
      <protection/>
    </xf>
    <xf numFmtId="0" fontId="63" fillId="0" borderId="81" xfId="101" applyNumberFormat="1" applyFont="1" applyBorder="1" applyAlignment="1" applyProtection="1">
      <alignment horizontal="left"/>
      <protection/>
    </xf>
    <xf numFmtId="0" fontId="64" fillId="8" borderId="73" xfId="110" applyFont="1" applyFill="1" applyBorder="1" applyProtection="1">
      <alignment/>
      <protection/>
    </xf>
    <xf numFmtId="0" fontId="63" fillId="8" borderId="74" xfId="110" applyFont="1" applyFill="1" applyBorder="1" applyProtection="1">
      <alignment/>
      <protection/>
    </xf>
    <xf numFmtId="0" fontId="63" fillId="0" borderId="80" xfId="101" applyNumberFormat="1" applyFont="1" applyFill="1" applyBorder="1" applyAlignment="1" applyProtection="1">
      <alignment horizontal="left"/>
      <protection/>
    </xf>
    <xf numFmtId="0" fontId="64" fillId="45" borderId="73" xfId="110" applyFont="1" applyFill="1" applyBorder="1" applyProtection="1">
      <alignment/>
      <protection/>
    </xf>
    <xf numFmtId="0" fontId="63" fillId="45" borderId="74" xfId="110" applyFont="1" applyFill="1" applyBorder="1" applyProtection="1">
      <alignment/>
      <protection/>
    </xf>
    <xf numFmtId="0" fontId="69" fillId="0" borderId="0" xfId="110" applyFont="1" applyBorder="1" applyAlignment="1" applyProtection="1">
      <alignment horizontal="center"/>
      <protection/>
    </xf>
    <xf numFmtId="218" fontId="70" fillId="0" borderId="0" xfId="110" applyNumberFormat="1" applyFont="1" applyBorder="1" applyAlignment="1" applyProtection="1">
      <alignment horizontal="center"/>
      <protection/>
    </xf>
    <xf numFmtId="0" fontId="70" fillId="0" borderId="0" xfId="110" applyFont="1" applyBorder="1" applyAlignment="1" applyProtection="1">
      <alignment horizontal="center"/>
      <protection/>
    </xf>
    <xf numFmtId="0" fontId="63" fillId="0" borderId="79" xfId="110" applyFont="1" applyBorder="1" applyAlignment="1" applyProtection="1">
      <alignment horizontal="center"/>
      <protection/>
    </xf>
    <xf numFmtId="0" fontId="71" fillId="0" borderId="82" xfId="110" applyFont="1" applyBorder="1" applyAlignment="1" applyProtection="1">
      <alignment horizontal="center"/>
      <protection/>
    </xf>
    <xf numFmtId="0" fontId="71" fillId="0" borderId="83" xfId="110" applyFont="1" applyBorder="1" applyAlignment="1" applyProtection="1">
      <alignment horizontal="center"/>
      <protection/>
    </xf>
    <xf numFmtId="0" fontId="72" fillId="45" borderId="74" xfId="110" applyFont="1" applyFill="1" applyBorder="1" applyAlignment="1" applyProtection="1">
      <alignment/>
      <protection locked="0"/>
    </xf>
    <xf numFmtId="2" fontId="66" fillId="0" borderId="84" xfId="110" applyNumberFormat="1" applyFont="1" applyBorder="1" applyAlignment="1" applyProtection="1">
      <alignment horizontal="center"/>
      <protection/>
    </xf>
    <xf numFmtId="2" fontId="63" fillId="0" borderId="0" xfId="110" applyNumberFormat="1" applyFont="1" applyAlignment="1" applyProtection="1">
      <alignment horizontal="center"/>
      <protection/>
    </xf>
    <xf numFmtId="2" fontId="66" fillId="0" borderId="85" xfId="110" applyNumberFormat="1" applyFont="1" applyBorder="1" applyAlignment="1" applyProtection="1">
      <alignment horizontal="center"/>
      <protection/>
    </xf>
    <xf numFmtId="0" fontId="63" fillId="0" borderId="0" xfId="110" applyFont="1" applyAlignment="1" applyProtection="1">
      <alignment horizontal="left"/>
      <protection/>
    </xf>
    <xf numFmtId="0" fontId="63" fillId="0" borderId="4" xfId="110" applyFont="1" applyBorder="1" applyAlignment="1" applyProtection="1">
      <alignment horizontal="center"/>
      <protection/>
    </xf>
    <xf numFmtId="0" fontId="63" fillId="0" borderId="4" xfId="110" applyNumberFormat="1" applyFont="1" applyBorder="1" applyAlignment="1" applyProtection="1">
      <alignment horizontal="center"/>
      <protection/>
    </xf>
    <xf numFmtId="0" fontId="72" fillId="8" borderId="0" xfId="110" applyFont="1" applyFill="1" applyBorder="1" applyAlignment="1" applyProtection="1">
      <alignment horizontal="left"/>
      <protection/>
    </xf>
    <xf numFmtId="0" fontId="72" fillId="8" borderId="74" xfId="110" applyFont="1" applyFill="1" applyBorder="1" applyAlignment="1" applyProtection="1">
      <alignment/>
      <protection locked="0"/>
    </xf>
    <xf numFmtId="0" fontId="63" fillId="0" borderId="4" xfId="110" applyNumberFormat="1" applyFont="1" applyFill="1" applyBorder="1" applyAlignment="1" applyProtection="1">
      <alignment horizontal="center"/>
      <protection/>
    </xf>
    <xf numFmtId="0" fontId="72" fillId="45" borderId="0" xfId="110" applyFont="1" applyFill="1" applyBorder="1" applyAlignment="1" applyProtection="1">
      <alignment horizontal="left"/>
      <protection/>
    </xf>
    <xf numFmtId="0" fontId="63" fillId="0" borderId="0" xfId="110" applyFont="1" applyFill="1" applyBorder="1" applyProtection="1">
      <alignment/>
      <protection/>
    </xf>
    <xf numFmtId="0" fontId="63" fillId="45" borderId="0" xfId="110" applyFont="1" applyFill="1" applyBorder="1" applyAlignment="1" applyProtection="1">
      <alignment horizontal="center"/>
      <protection/>
    </xf>
    <xf numFmtId="0" fontId="142" fillId="45" borderId="0" xfId="110" applyFont="1" applyFill="1" applyBorder="1" applyAlignment="1" applyProtection="1">
      <alignment horizontal="center"/>
      <protection/>
    </xf>
    <xf numFmtId="0" fontId="72" fillId="45" borderId="0" xfId="110" applyFont="1" applyFill="1" applyBorder="1" applyAlignment="1" applyProtection="1">
      <alignment/>
      <protection locked="0"/>
    </xf>
    <xf numFmtId="0" fontId="73" fillId="45" borderId="0" xfId="110" applyFont="1" applyFill="1" applyBorder="1" applyProtection="1">
      <alignment/>
      <protection/>
    </xf>
    <xf numFmtId="191" fontId="63" fillId="43" borderId="86" xfId="98" applyFont="1" applyFill="1" applyBorder="1" applyAlignment="1" applyProtection="1">
      <alignment horizontal="left"/>
      <protection/>
    </xf>
    <xf numFmtId="191" fontId="63" fillId="43" borderId="87" xfId="98" applyFont="1" applyFill="1" applyBorder="1" applyAlignment="1" applyProtection="1">
      <alignment horizontal="left"/>
      <protection/>
    </xf>
    <xf numFmtId="0" fontId="63" fillId="0" borderId="4" xfId="101" applyNumberFormat="1" applyFont="1" applyBorder="1" applyAlignment="1" applyProtection="1">
      <alignment horizontal="center"/>
      <protection/>
    </xf>
    <xf numFmtId="191" fontId="63" fillId="43" borderId="88" xfId="98" applyFont="1" applyFill="1" applyBorder="1" applyAlignment="1" applyProtection="1">
      <alignment horizontal="left"/>
      <protection/>
    </xf>
    <xf numFmtId="0" fontId="65" fillId="45" borderId="73" xfId="110" applyFont="1" applyFill="1" applyBorder="1" applyProtection="1">
      <alignment/>
      <protection/>
    </xf>
    <xf numFmtId="0" fontId="65" fillId="45" borderId="0" xfId="110" applyFont="1" applyFill="1" applyBorder="1" applyProtection="1">
      <alignment/>
      <protection/>
    </xf>
    <xf numFmtId="0" fontId="65" fillId="45" borderId="0" xfId="110" applyFont="1" applyFill="1" applyBorder="1" applyAlignment="1" applyProtection="1">
      <alignment horizontal="center"/>
      <protection/>
    </xf>
    <xf numFmtId="191" fontId="65" fillId="43" borderId="89" xfId="98" applyFont="1" applyFill="1" applyBorder="1" applyAlignment="1" applyProtection="1">
      <alignment horizontal="left"/>
      <protection/>
    </xf>
    <xf numFmtId="43" fontId="74" fillId="46" borderId="0" xfId="101" applyFont="1" applyFill="1" applyBorder="1" applyAlignment="1" applyProtection="1">
      <alignment/>
      <protection locked="0"/>
    </xf>
    <xf numFmtId="0" fontId="63" fillId="0" borderId="0" xfId="110" applyFont="1" applyBorder="1" applyProtection="1">
      <alignment/>
      <protection/>
    </xf>
    <xf numFmtId="44" fontId="141" fillId="0" borderId="90" xfId="101" applyNumberFormat="1" applyFont="1" applyFill="1" applyBorder="1" applyAlignment="1" applyProtection="1">
      <alignment/>
      <protection locked="0"/>
    </xf>
    <xf numFmtId="43" fontId="141" fillId="0" borderId="90" xfId="101" applyFont="1" applyFill="1" applyBorder="1" applyAlignment="1" applyProtection="1">
      <alignment/>
      <protection locked="0"/>
    </xf>
    <xf numFmtId="0" fontId="143" fillId="45" borderId="0" xfId="110" applyFont="1" applyFill="1" applyBorder="1" applyProtection="1">
      <alignment/>
      <protection/>
    </xf>
    <xf numFmtId="0" fontId="69" fillId="45" borderId="0" xfId="110" applyFont="1" applyFill="1" applyBorder="1" applyProtection="1">
      <alignment/>
      <protection/>
    </xf>
    <xf numFmtId="43" fontId="75" fillId="0" borderId="90" xfId="101" applyFont="1" applyFill="1" applyBorder="1" applyAlignment="1" applyProtection="1">
      <alignment horizontal="center"/>
      <protection locked="0"/>
    </xf>
    <xf numFmtId="43" fontId="141" fillId="0" borderId="90" xfId="101" applyFont="1" applyFill="1" applyBorder="1" applyAlignment="1" applyProtection="1">
      <alignment horizontal="center"/>
      <protection locked="0"/>
    </xf>
    <xf numFmtId="0" fontId="63" fillId="45" borderId="0" xfId="110" applyFont="1" applyFill="1" applyBorder="1" applyAlignment="1" applyProtection="1">
      <alignment horizontal="left"/>
      <protection/>
    </xf>
    <xf numFmtId="43" fontId="74" fillId="46" borderId="0" xfId="101" applyFont="1" applyFill="1" applyBorder="1" applyAlignment="1" applyProtection="1">
      <alignment horizontal="center"/>
      <protection locked="0"/>
    </xf>
    <xf numFmtId="43" fontId="76" fillId="46" borderId="0" xfId="101" applyFont="1" applyFill="1" applyBorder="1" applyAlignment="1" applyProtection="1">
      <alignment horizontal="center"/>
      <protection locked="0"/>
    </xf>
    <xf numFmtId="43" fontId="63" fillId="45" borderId="0" xfId="101" applyFont="1" applyFill="1" applyBorder="1" applyAlignment="1" applyProtection="1">
      <alignment horizontal="center"/>
      <protection locked="0"/>
    </xf>
    <xf numFmtId="0" fontId="63" fillId="8" borderId="0" xfId="110" applyFont="1" applyFill="1" applyBorder="1" applyAlignment="1" applyProtection="1">
      <alignment horizontal="center"/>
      <protection/>
    </xf>
    <xf numFmtId="0" fontId="63" fillId="45" borderId="0" xfId="110" applyFont="1" applyFill="1" applyProtection="1">
      <alignment/>
      <protection/>
    </xf>
    <xf numFmtId="0" fontId="63" fillId="45" borderId="0" xfId="109" applyFont="1" applyFill="1" applyBorder="1" applyAlignment="1" applyProtection="1">
      <alignment horizontal="right"/>
      <protection/>
    </xf>
    <xf numFmtId="0" fontId="141" fillId="0" borderId="91" xfId="109" applyFont="1" applyFill="1" applyBorder="1" applyAlignment="1" applyProtection="1">
      <alignment horizontal="center"/>
      <protection locked="0"/>
    </xf>
    <xf numFmtId="0" fontId="70" fillId="45" borderId="0" xfId="109" applyFont="1" applyFill="1" applyBorder="1" applyAlignment="1" applyProtection="1">
      <alignment horizontal="left"/>
      <protection locked="0"/>
    </xf>
    <xf numFmtId="0" fontId="63" fillId="45" borderId="73" xfId="110" applyFont="1" applyFill="1" applyBorder="1" applyAlignment="1" applyProtection="1">
      <alignment horizontal="right"/>
      <protection/>
    </xf>
    <xf numFmtId="0" fontId="63" fillId="45" borderId="0" xfId="109" applyFont="1" applyFill="1" applyBorder="1" applyProtection="1">
      <alignment/>
      <protection/>
    </xf>
    <xf numFmtId="220" fontId="63" fillId="45" borderId="0" xfId="109" applyNumberFormat="1" applyFont="1" applyFill="1" applyBorder="1" applyAlignment="1" applyProtection="1">
      <alignment horizontal="center"/>
      <protection locked="0"/>
    </xf>
    <xf numFmtId="0" fontId="63" fillId="8" borderId="0" xfId="109" applyFont="1" applyFill="1" applyBorder="1" applyProtection="1">
      <alignment/>
      <protection/>
    </xf>
    <xf numFmtId="220" fontId="70" fillId="8" borderId="0" xfId="109" applyNumberFormat="1" applyFont="1" applyFill="1" applyBorder="1" applyAlignment="1" applyProtection="1">
      <alignment horizontal="left"/>
      <protection locked="0"/>
    </xf>
    <xf numFmtId="220" fontId="63" fillId="45" borderId="0" xfId="109" applyNumberFormat="1" applyFont="1" applyFill="1" applyBorder="1" applyAlignment="1" applyProtection="1">
      <alignment horizontal="left"/>
      <protection locked="0"/>
    </xf>
    <xf numFmtId="0" fontId="144" fillId="0" borderId="90" xfId="115" applyNumberFormat="1" applyFont="1" applyFill="1" applyBorder="1" applyAlignment="1" applyProtection="1">
      <alignment horizontal="center"/>
      <protection locked="0"/>
    </xf>
    <xf numFmtId="0" fontId="63" fillId="45" borderId="92" xfId="110" applyFont="1" applyFill="1" applyBorder="1" applyProtection="1">
      <alignment/>
      <protection/>
    </xf>
    <xf numFmtId="0" fontId="63" fillId="45" borderId="93" xfId="110" applyFont="1" applyFill="1" applyBorder="1" applyProtection="1">
      <alignment/>
      <protection/>
    </xf>
    <xf numFmtId="0" fontId="63" fillId="45" borderId="94" xfId="110" applyFont="1" applyFill="1" applyBorder="1" applyProtection="1">
      <alignment/>
      <protection/>
    </xf>
    <xf numFmtId="0" fontId="18" fillId="47" borderId="0" xfId="111" applyFont="1" applyFill="1" applyBorder="1" applyAlignment="1" applyProtection="1">
      <alignment horizontal="center"/>
      <protection locked="0"/>
    </xf>
    <xf numFmtId="49" fontId="141" fillId="43" borderId="0" xfId="110" applyNumberFormat="1" applyFont="1" applyFill="1" applyBorder="1" applyAlignment="1" applyProtection="1">
      <alignment horizontal="left"/>
      <protection locked="0"/>
    </xf>
    <xf numFmtId="0" fontId="63" fillId="0" borderId="0" xfId="110" applyFont="1" applyBorder="1" applyAlignment="1" applyProtection="1">
      <alignment horizontal="center"/>
      <protection/>
    </xf>
    <xf numFmtId="49" fontId="18" fillId="43" borderId="66" xfId="108" applyNumberFormat="1" applyFont="1" applyFill="1" applyBorder="1" applyAlignment="1" applyProtection="1">
      <alignment/>
      <protection/>
    </xf>
    <xf numFmtId="49" fontId="18" fillId="43" borderId="62" xfId="108" applyNumberFormat="1" applyFont="1" applyFill="1" applyBorder="1" applyAlignment="1" applyProtection="1">
      <alignment/>
      <protection hidden="1"/>
    </xf>
    <xf numFmtId="49" fontId="18" fillId="43" borderId="66" xfId="108" applyNumberFormat="1" applyFont="1" applyFill="1" applyBorder="1" applyAlignment="1" applyProtection="1">
      <alignment/>
      <protection hidden="1"/>
    </xf>
    <xf numFmtId="2" fontId="18" fillId="43" borderId="62" xfId="108" applyNumberFormat="1" applyFont="1" applyFill="1" applyBorder="1" applyAlignment="1" applyProtection="1">
      <alignment/>
      <protection/>
    </xf>
    <xf numFmtId="0" fontId="145" fillId="35" borderId="95" xfId="110" applyFont="1" applyFill="1" applyBorder="1" applyAlignment="1" applyProtection="1">
      <alignment horizontal="center" vertical="center"/>
      <protection/>
    </xf>
    <xf numFmtId="0" fontId="145" fillId="35" borderId="96" xfId="110" applyFont="1" applyFill="1" applyBorder="1" applyAlignment="1" applyProtection="1">
      <alignment horizontal="center" vertical="center"/>
      <protection/>
    </xf>
    <xf numFmtId="0" fontId="145" fillId="35" borderId="97" xfId="110" applyFont="1" applyFill="1" applyBorder="1" applyAlignment="1" applyProtection="1">
      <alignment horizontal="center" vertical="center"/>
      <protection/>
    </xf>
    <xf numFmtId="0" fontId="65" fillId="0" borderId="98" xfId="110" applyFont="1" applyBorder="1" applyAlignment="1" applyProtection="1">
      <alignment horizontal="center"/>
      <protection/>
    </xf>
    <xf numFmtId="0" fontId="65" fillId="0" borderId="99" xfId="110" applyFont="1" applyBorder="1" applyAlignment="1" applyProtection="1">
      <alignment horizontal="center"/>
      <protection/>
    </xf>
    <xf numFmtId="0" fontId="67" fillId="0" borderId="79" xfId="110" applyFont="1" applyBorder="1" applyAlignment="1" applyProtection="1">
      <alignment horizontal="center"/>
      <protection/>
    </xf>
    <xf numFmtId="0" fontId="63" fillId="0" borderId="100" xfId="109" applyFont="1" applyBorder="1" applyAlignment="1" applyProtection="1">
      <alignment horizontal="center"/>
      <protection/>
    </xf>
    <xf numFmtId="0" fontId="63" fillId="0" borderId="38" xfId="109" applyFont="1" applyBorder="1" applyAlignment="1" applyProtection="1">
      <alignment horizontal="center"/>
      <protection/>
    </xf>
    <xf numFmtId="2" fontId="141" fillId="0" borderId="101" xfId="101" applyNumberFormat="1" applyFont="1" applyFill="1" applyBorder="1" applyAlignment="1" applyProtection="1">
      <alignment horizontal="center"/>
      <protection locked="0"/>
    </xf>
    <xf numFmtId="2" fontId="141" fillId="0" borderId="102" xfId="101" applyNumberFormat="1" applyFont="1" applyFill="1" applyBorder="1" applyAlignment="1" applyProtection="1">
      <alignment horizontal="center"/>
      <protection locked="0"/>
    </xf>
    <xf numFmtId="219" fontId="63" fillId="0" borderId="49" xfId="109" applyNumberFormat="1" applyFont="1" applyBorder="1" applyAlignment="1" applyProtection="1">
      <alignment horizontal="center"/>
      <protection/>
    </xf>
    <xf numFmtId="219" fontId="63" fillId="0" borderId="50" xfId="109" applyNumberFormat="1" applyFont="1" applyBorder="1" applyAlignment="1" applyProtection="1">
      <alignment horizontal="center"/>
      <protection/>
    </xf>
    <xf numFmtId="0" fontId="63" fillId="0" borderId="49" xfId="109" applyFont="1" applyBorder="1" applyAlignment="1" applyProtection="1">
      <alignment horizontal="center"/>
      <protection/>
    </xf>
    <xf numFmtId="0" fontId="63" fillId="0" borderId="50" xfId="109" applyFont="1" applyBorder="1" applyAlignment="1" applyProtection="1">
      <alignment horizontal="center"/>
      <protection/>
    </xf>
    <xf numFmtId="71" fontId="63" fillId="0" borderId="54" xfId="109" applyNumberFormat="1" applyFont="1" applyBorder="1" applyAlignment="1" applyProtection="1">
      <alignment horizontal="center"/>
      <protection/>
    </xf>
    <xf numFmtId="71" fontId="63" fillId="0" borderId="55" xfId="109" applyNumberFormat="1" applyFont="1" applyBorder="1" applyAlignment="1" applyProtection="1">
      <alignment horizontal="center"/>
      <protection/>
    </xf>
    <xf numFmtId="220" fontId="63" fillId="0" borderId="49" xfId="109" applyNumberFormat="1" applyFont="1" applyBorder="1" applyAlignment="1" applyProtection="1">
      <alignment horizontal="center"/>
      <protection/>
    </xf>
    <xf numFmtId="0" fontId="141" fillId="43" borderId="101" xfId="110" applyFont="1" applyFill="1" applyBorder="1" applyAlignment="1" applyProtection="1">
      <alignment horizontal="left"/>
      <protection locked="0"/>
    </xf>
    <xf numFmtId="0" fontId="141" fillId="43" borderId="103" xfId="110" applyFont="1" applyFill="1" applyBorder="1" applyAlignment="1" applyProtection="1">
      <alignment horizontal="left"/>
      <protection locked="0"/>
    </xf>
    <xf numFmtId="0" fontId="141" fillId="43" borderId="102" xfId="110" applyFont="1" applyFill="1" applyBorder="1" applyAlignment="1" applyProtection="1">
      <alignment horizontal="left"/>
      <protection locked="0"/>
    </xf>
    <xf numFmtId="49" fontId="141" fillId="43" borderId="101" xfId="110" applyNumberFormat="1" applyFont="1" applyFill="1" applyBorder="1" applyAlignment="1" applyProtection="1">
      <alignment horizontal="left"/>
      <protection locked="0"/>
    </xf>
    <xf numFmtId="49" fontId="141" fillId="43" borderId="103" xfId="110" applyNumberFormat="1" applyFont="1" applyFill="1" applyBorder="1" applyAlignment="1" applyProtection="1">
      <alignment horizontal="left"/>
      <protection locked="0"/>
    </xf>
    <xf numFmtId="49" fontId="141" fillId="43" borderId="102" xfId="110" applyNumberFormat="1" applyFont="1" applyFill="1" applyBorder="1" applyAlignment="1" applyProtection="1">
      <alignment horizontal="left"/>
      <protection locked="0"/>
    </xf>
    <xf numFmtId="220" fontId="141" fillId="0" borderId="101" xfId="109" applyNumberFormat="1" applyFont="1" applyFill="1" applyBorder="1" applyAlignment="1" applyProtection="1">
      <alignment horizontal="left"/>
      <protection locked="0"/>
    </xf>
    <xf numFmtId="220" fontId="141" fillId="0" borderId="102" xfId="109" applyNumberFormat="1" applyFont="1" applyFill="1" applyBorder="1" applyAlignment="1" applyProtection="1">
      <alignment horizontal="left"/>
      <protection locked="0"/>
    </xf>
    <xf numFmtId="0" fontId="18" fillId="47" borderId="0" xfId="111" applyFont="1" applyFill="1" applyBorder="1" applyAlignment="1" applyProtection="1">
      <alignment horizontal="center"/>
      <protection locked="0"/>
    </xf>
    <xf numFmtId="2" fontId="18" fillId="43" borderId="62" xfId="108" applyNumberFormat="1" applyFont="1" applyFill="1" applyBorder="1" applyAlignment="1" applyProtection="1">
      <alignment horizontal="left"/>
      <protection hidden="1"/>
    </xf>
    <xf numFmtId="210" fontId="18" fillId="43" borderId="64" xfId="100" applyNumberFormat="1" applyFont="1" applyFill="1" applyBorder="1" applyAlignment="1" applyProtection="1">
      <alignment horizontal="center"/>
      <protection locked="0"/>
    </xf>
    <xf numFmtId="0" fontId="46" fillId="43" borderId="68" xfId="108" applyFont="1" applyFill="1" applyBorder="1" applyAlignment="1" applyProtection="1">
      <alignment horizontal="center" vertical="center"/>
      <protection hidden="1"/>
    </xf>
    <xf numFmtId="0" fontId="46" fillId="43" borderId="59" xfId="108" applyFont="1" applyFill="1" applyBorder="1" applyAlignment="1" applyProtection="1">
      <alignment horizontal="center" vertical="center"/>
      <protection hidden="1"/>
    </xf>
    <xf numFmtId="49" fontId="46" fillId="43" borderId="104" xfId="108" applyNumberFormat="1" applyFont="1" applyFill="1" applyBorder="1" applyAlignment="1" applyProtection="1">
      <alignment horizontal="center" vertical="center"/>
      <protection hidden="1"/>
    </xf>
    <xf numFmtId="49" fontId="46" fillId="43" borderId="105" xfId="108" applyNumberFormat="1" applyFont="1" applyFill="1" applyBorder="1" applyAlignment="1" applyProtection="1">
      <alignment horizontal="center" vertical="center"/>
      <protection hidden="1"/>
    </xf>
    <xf numFmtId="49" fontId="46" fillId="43" borderId="60" xfId="108" applyNumberFormat="1" applyFont="1" applyFill="1" applyBorder="1" applyAlignment="1" applyProtection="1">
      <alignment horizontal="center" vertical="center"/>
      <protection hidden="1"/>
    </xf>
    <xf numFmtId="49" fontId="46" fillId="43" borderId="61" xfId="108" applyNumberFormat="1" applyFont="1" applyFill="1" applyBorder="1" applyAlignment="1" applyProtection="1">
      <alignment horizontal="center" vertical="center"/>
      <protection hidden="1"/>
    </xf>
    <xf numFmtId="0" fontId="21" fillId="43" borderId="0" xfId="108" applyFont="1" applyFill="1" applyAlignment="1" applyProtection="1">
      <alignment horizontal="center"/>
      <protection locked="0"/>
    </xf>
    <xf numFmtId="0" fontId="46" fillId="43" borderId="66" xfId="108" applyNumberFormat="1" applyFont="1" applyFill="1" applyBorder="1" applyAlignment="1" applyProtection="1">
      <alignment horizontal="left"/>
      <protection/>
    </xf>
    <xf numFmtId="0" fontId="46" fillId="43" borderId="62" xfId="108" applyNumberFormat="1" applyFont="1" applyFill="1" applyBorder="1" applyAlignment="1" applyProtection="1">
      <alignment horizontal="left"/>
      <protection/>
    </xf>
    <xf numFmtId="0" fontId="46" fillId="43" borderId="62" xfId="108" applyFont="1" applyFill="1" applyBorder="1" applyAlignment="1" applyProtection="1">
      <alignment horizontal="left"/>
      <protection/>
    </xf>
    <xf numFmtId="49" fontId="46" fillId="43" borderId="1" xfId="108" applyNumberFormat="1" applyFont="1" applyFill="1" applyBorder="1" applyAlignment="1" applyProtection="1">
      <alignment horizontal="center"/>
      <protection locked="0"/>
    </xf>
    <xf numFmtId="49" fontId="46" fillId="43" borderId="106" xfId="108" applyNumberFormat="1" applyFont="1" applyFill="1" applyBorder="1" applyAlignment="1" applyProtection="1">
      <alignment horizontal="center"/>
      <protection locked="0"/>
    </xf>
    <xf numFmtId="49" fontId="59" fillId="0" borderId="40" xfId="0" applyNumberFormat="1" applyFont="1" applyBorder="1" applyAlignment="1">
      <alignment horizontal="left" vertical="center"/>
    </xf>
    <xf numFmtId="49" fontId="59" fillId="0" borderId="41" xfId="0" applyNumberFormat="1" applyFont="1" applyBorder="1" applyAlignment="1">
      <alignment horizontal="left" vertical="center"/>
    </xf>
    <xf numFmtId="49" fontId="59" fillId="43" borderId="40" xfId="0" applyNumberFormat="1" applyFont="1" applyFill="1" applyBorder="1" applyAlignment="1">
      <alignment horizontal="left" vertical="center"/>
    </xf>
    <xf numFmtId="49" fontId="59" fillId="43" borderId="41" xfId="0" applyNumberFormat="1" applyFont="1" applyFill="1" applyBorder="1" applyAlignment="1">
      <alignment horizontal="left" vertical="center"/>
    </xf>
    <xf numFmtId="41" fontId="46" fillId="43" borderId="107" xfId="108" applyNumberFormat="1" applyFont="1" applyFill="1" applyBorder="1" applyAlignment="1" applyProtection="1">
      <alignment horizontal="left"/>
      <protection locked="0"/>
    </xf>
    <xf numFmtId="41" fontId="46" fillId="43" borderId="108" xfId="108" applyNumberFormat="1" applyFont="1" applyFill="1" applyBorder="1" applyAlignment="1" applyProtection="1">
      <alignment horizontal="left"/>
      <protection locked="0"/>
    </xf>
    <xf numFmtId="210" fontId="46" fillId="43" borderId="109" xfId="100" applyNumberFormat="1" applyFont="1" applyFill="1" applyBorder="1" applyAlignment="1" applyProtection="1">
      <alignment horizontal="center" vertical="center"/>
      <protection hidden="1"/>
    </xf>
    <xf numFmtId="210" fontId="46" fillId="43" borderId="110" xfId="100" applyNumberFormat="1" applyFont="1" applyFill="1" applyBorder="1" applyAlignment="1" applyProtection="1">
      <alignment horizontal="center" vertical="center"/>
      <protection hidden="1"/>
    </xf>
    <xf numFmtId="41" fontId="46" fillId="43" borderId="72" xfId="108" applyNumberFormat="1" applyFont="1" applyFill="1" applyBorder="1" applyAlignment="1" applyProtection="1">
      <alignment horizontal="left"/>
      <protection locked="0"/>
    </xf>
    <xf numFmtId="49" fontId="59" fillId="0" borderId="44" xfId="0" applyNumberFormat="1" applyFont="1" applyBorder="1" applyAlignment="1">
      <alignment horizontal="left" vertical="center"/>
    </xf>
    <xf numFmtId="49" fontId="59" fillId="0" borderId="45" xfId="0" applyNumberFormat="1" applyFont="1" applyBorder="1" applyAlignment="1">
      <alignment horizontal="left" vertical="center"/>
    </xf>
    <xf numFmtId="220" fontId="18" fillId="43" borderId="62" xfId="108" applyNumberFormat="1" applyFont="1" applyFill="1" applyBorder="1" applyAlignment="1" applyProtection="1">
      <alignment horizontal="left"/>
      <protection/>
    </xf>
    <xf numFmtId="0" fontId="18" fillId="43" borderId="64" xfId="108" applyFont="1" applyFill="1" applyBorder="1" applyAlignment="1" applyProtection="1">
      <alignment horizontal="center"/>
      <protection locked="0"/>
    </xf>
    <xf numFmtId="49" fontId="59" fillId="0" borderId="62" xfId="0" applyNumberFormat="1" applyFont="1" applyBorder="1" applyAlignment="1">
      <alignment horizontal="left" vertical="center"/>
    </xf>
    <xf numFmtId="41" fontId="18" fillId="43" borderId="44" xfId="108" applyNumberFormat="1" applyFont="1" applyFill="1" applyBorder="1" applyAlignment="1" applyProtection="1">
      <alignment horizontal="left"/>
      <protection locked="0"/>
    </xf>
    <xf numFmtId="41" fontId="18" fillId="43" borderId="45" xfId="108" applyNumberFormat="1" applyFont="1" applyFill="1" applyBorder="1" applyAlignment="1" applyProtection="1">
      <alignment horizontal="left"/>
      <protection locked="0"/>
    </xf>
    <xf numFmtId="0" fontId="45" fillId="0" borderId="0" xfId="108" applyFont="1" applyFill="1" applyBorder="1" applyAlignment="1">
      <alignment horizontal="center" wrapText="1"/>
      <protection/>
    </xf>
    <xf numFmtId="0" fontId="45" fillId="0" borderId="0" xfId="108" applyFont="1" applyFill="1" applyBorder="1" applyAlignment="1">
      <alignment horizontal="center"/>
      <protection/>
    </xf>
    <xf numFmtId="0" fontId="47" fillId="43" borderId="0" xfId="108" applyFont="1" applyFill="1" applyBorder="1" applyAlignment="1" applyProtection="1">
      <alignment horizontal="center"/>
      <protection hidden="1"/>
    </xf>
    <xf numFmtId="0" fontId="46" fillId="43" borderId="66" xfId="108" applyFont="1" applyFill="1" applyBorder="1" applyAlignment="1" applyProtection="1">
      <alignment horizontal="left"/>
      <protection hidden="1"/>
    </xf>
    <xf numFmtId="0" fontId="46" fillId="43" borderId="62" xfId="108" applyFont="1" applyFill="1" applyBorder="1" applyAlignment="1" applyProtection="1">
      <alignment horizontal="left"/>
      <protection hidden="1"/>
    </xf>
    <xf numFmtId="0" fontId="46" fillId="43" borderId="0" xfId="108" applyFont="1" applyFill="1" applyAlignment="1">
      <alignment horizontal="center"/>
      <protection/>
    </xf>
    <xf numFmtId="0" fontId="18" fillId="43" borderId="62" xfId="108" applyFont="1" applyFill="1" applyBorder="1" applyAlignment="1" applyProtection="1">
      <alignment horizontal="center"/>
      <protection hidden="1"/>
    </xf>
    <xf numFmtId="0" fontId="46" fillId="43" borderId="62" xfId="108" applyFont="1" applyFill="1" applyBorder="1" applyAlignment="1" applyProtection="1">
      <alignment horizontal="center"/>
      <protection hidden="1"/>
    </xf>
    <xf numFmtId="220" fontId="18" fillId="43" borderId="62" xfId="108" applyNumberFormat="1" applyFont="1" applyFill="1" applyBorder="1" applyAlignment="1" applyProtection="1">
      <alignment horizontal="center"/>
      <protection hidden="1"/>
    </xf>
    <xf numFmtId="0" fontId="18" fillId="43" borderId="64" xfId="108" applyFont="1" applyFill="1" applyBorder="1" applyAlignment="1" applyProtection="1">
      <alignment horizontal="right"/>
      <protection hidden="1"/>
    </xf>
    <xf numFmtId="0" fontId="46" fillId="43" borderId="59" xfId="108" applyFont="1" applyFill="1" applyBorder="1" applyAlignment="1" applyProtection="1">
      <alignment horizontal="center" vertical="center" wrapText="1"/>
      <protection hidden="1"/>
    </xf>
    <xf numFmtId="41" fontId="18" fillId="43" borderId="65" xfId="108" applyNumberFormat="1" applyFont="1" applyFill="1" applyBorder="1" applyAlignment="1" applyProtection="1">
      <alignment horizontal="left" indent="1"/>
      <protection locked="0"/>
    </xf>
    <xf numFmtId="0" fontId="18" fillId="43" borderId="65" xfId="108" applyFont="1" applyFill="1" applyBorder="1" applyAlignment="1" applyProtection="1">
      <alignment horizontal="left" indent="1"/>
      <protection locked="0"/>
    </xf>
    <xf numFmtId="191" fontId="18" fillId="43" borderId="107" xfId="98" applyNumberFormat="1" applyFont="1" applyFill="1" applyBorder="1" applyAlignment="1" applyProtection="1">
      <alignment horizontal="right"/>
      <protection locked="0"/>
    </xf>
    <xf numFmtId="191" fontId="18" fillId="43" borderId="108" xfId="98" applyNumberFormat="1" applyFont="1" applyFill="1" applyBorder="1" applyAlignment="1" applyProtection="1">
      <alignment horizontal="right"/>
      <protection locked="0"/>
    </xf>
    <xf numFmtId="191" fontId="18" fillId="43" borderId="72" xfId="98" applyNumberFormat="1" applyFont="1" applyFill="1" applyBorder="1" applyAlignment="1" applyProtection="1">
      <alignment horizontal="right"/>
      <protection locked="0"/>
    </xf>
    <xf numFmtId="213" fontId="18" fillId="43" borderId="107" xfId="108" applyNumberFormat="1" applyFont="1" applyFill="1" applyBorder="1" applyAlignment="1" applyProtection="1">
      <alignment horizontal="right"/>
      <protection hidden="1"/>
    </xf>
    <xf numFmtId="213" fontId="18" fillId="43" borderId="108" xfId="108" applyNumberFormat="1" applyFont="1" applyFill="1" applyBorder="1" applyAlignment="1" applyProtection="1">
      <alignment horizontal="right"/>
      <protection hidden="1"/>
    </xf>
    <xf numFmtId="213" fontId="18" fillId="43" borderId="72" xfId="108" applyNumberFormat="1" applyFont="1" applyFill="1" applyBorder="1" applyAlignment="1" applyProtection="1">
      <alignment horizontal="right"/>
      <protection hidden="1"/>
    </xf>
    <xf numFmtId="43" fontId="18" fillId="43" borderId="107" xfId="100" applyNumberFormat="1" applyFont="1" applyFill="1" applyBorder="1" applyAlignment="1" applyProtection="1">
      <alignment horizontal="right"/>
      <protection hidden="1"/>
    </xf>
    <xf numFmtId="43" fontId="18" fillId="43" borderId="108" xfId="100" applyNumberFormat="1" applyFont="1" applyFill="1" applyBorder="1" applyAlignment="1" applyProtection="1">
      <alignment horizontal="right"/>
      <protection hidden="1"/>
    </xf>
    <xf numFmtId="43" fontId="18" fillId="43" borderId="72" xfId="100" applyNumberFormat="1" applyFont="1" applyFill="1" applyBorder="1" applyAlignment="1" applyProtection="1">
      <alignment horizontal="right"/>
      <protection hidden="1"/>
    </xf>
    <xf numFmtId="0" fontId="18" fillId="43" borderId="48" xfId="108" applyFont="1" applyFill="1" applyBorder="1" applyAlignment="1" applyProtection="1">
      <alignment horizontal="center"/>
      <protection hidden="1"/>
    </xf>
    <xf numFmtId="0" fontId="18" fillId="43" borderId="42" xfId="108" applyFont="1" applyFill="1" applyBorder="1" applyAlignment="1" applyProtection="1">
      <alignment horizontal="center"/>
      <protection hidden="1"/>
    </xf>
    <xf numFmtId="41" fontId="18" fillId="43" borderId="39" xfId="108" applyNumberFormat="1" applyFont="1" applyFill="1" applyBorder="1" applyAlignment="1" applyProtection="1">
      <alignment horizontal="left" indent="1"/>
      <protection locked="0"/>
    </xf>
    <xf numFmtId="0" fontId="18" fillId="43" borderId="39" xfId="108" applyFont="1" applyFill="1" applyBorder="1" applyAlignment="1" applyProtection="1">
      <alignment horizontal="left" indent="1"/>
      <protection locked="0"/>
    </xf>
    <xf numFmtId="191" fontId="18" fillId="43" borderId="40" xfId="98" applyNumberFormat="1" applyFont="1" applyFill="1" applyBorder="1" applyAlignment="1" applyProtection="1">
      <alignment horizontal="center"/>
      <protection locked="0"/>
    </xf>
    <xf numFmtId="191" fontId="18" fillId="43" borderId="62" xfId="98" applyNumberFormat="1" applyFont="1" applyFill="1" applyBorder="1" applyAlignment="1" applyProtection="1">
      <alignment horizontal="center"/>
      <protection locked="0"/>
    </xf>
    <xf numFmtId="191" fontId="18" fillId="43" borderId="41" xfId="98" applyNumberFormat="1" applyFont="1" applyFill="1" applyBorder="1" applyAlignment="1" applyProtection="1">
      <alignment horizontal="center"/>
      <protection locked="0"/>
    </xf>
    <xf numFmtId="213" fontId="18" fillId="43" borderId="40" xfId="108" applyNumberFormat="1" applyFont="1" applyFill="1" applyBorder="1" applyAlignment="1" applyProtection="1">
      <alignment horizontal="center"/>
      <protection hidden="1"/>
    </xf>
    <xf numFmtId="213" fontId="18" fillId="43" borderId="62" xfId="108" applyNumberFormat="1" applyFont="1" applyFill="1" applyBorder="1" applyAlignment="1" applyProtection="1">
      <alignment horizontal="center"/>
      <protection hidden="1"/>
    </xf>
    <xf numFmtId="213" fontId="18" fillId="43" borderId="41" xfId="108" applyNumberFormat="1" applyFont="1" applyFill="1" applyBorder="1" applyAlignment="1" applyProtection="1">
      <alignment horizontal="center"/>
      <protection hidden="1"/>
    </xf>
    <xf numFmtId="43" fontId="18" fillId="43" borderId="40" xfId="100" applyNumberFormat="1" applyFont="1" applyFill="1" applyBorder="1" applyAlignment="1" applyProtection="1">
      <alignment horizontal="center"/>
      <protection hidden="1"/>
    </xf>
    <xf numFmtId="43" fontId="18" fillId="43" borderId="62" xfId="100" applyNumberFormat="1" applyFont="1" applyFill="1" applyBorder="1" applyAlignment="1" applyProtection="1">
      <alignment horizontal="center"/>
      <protection hidden="1"/>
    </xf>
    <xf numFmtId="43" fontId="18" fillId="43" borderId="41" xfId="100" applyNumberFormat="1" applyFont="1" applyFill="1" applyBorder="1" applyAlignment="1" applyProtection="1">
      <alignment horizontal="center"/>
      <protection hidden="1"/>
    </xf>
    <xf numFmtId="191" fontId="18" fillId="43" borderId="40" xfId="98" applyFont="1" applyFill="1" applyBorder="1" applyAlignment="1" applyProtection="1">
      <alignment horizontal="center"/>
      <protection locked="0"/>
    </xf>
    <xf numFmtId="191" fontId="18" fillId="43" borderId="62" xfId="98" applyFont="1" applyFill="1" applyBorder="1" applyAlignment="1" applyProtection="1">
      <alignment horizontal="center"/>
      <protection locked="0"/>
    </xf>
    <xf numFmtId="191" fontId="18" fillId="43" borderId="41" xfId="98" applyFont="1" applyFill="1" applyBorder="1" applyAlignment="1" applyProtection="1">
      <alignment horizontal="center"/>
      <protection locked="0"/>
    </xf>
    <xf numFmtId="0" fontId="18" fillId="43" borderId="40" xfId="108" applyFont="1" applyFill="1" applyBorder="1" applyAlignment="1" applyProtection="1">
      <alignment horizontal="center"/>
      <protection hidden="1"/>
    </xf>
    <xf numFmtId="0" fontId="18" fillId="43" borderId="41" xfId="108" applyFont="1" applyFill="1" applyBorder="1" applyAlignment="1" applyProtection="1">
      <alignment horizontal="center"/>
      <protection hidden="1"/>
    </xf>
    <xf numFmtId="0" fontId="18" fillId="43" borderId="44" xfId="108" applyFont="1" applyFill="1" applyBorder="1" applyAlignment="1" applyProtection="1">
      <alignment horizontal="center"/>
      <protection locked="0"/>
    </xf>
    <xf numFmtId="0" fontId="18" fillId="43" borderId="111" xfId="108" applyFont="1" applyFill="1" applyBorder="1" applyAlignment="1" applyProtection="1">
      <alignment horizontal="center"/>
      <protection locked="0"/>
    </xf>
    <xf numFmtId="0" fontId="18" fillId="43" borderId="45" xfId="108" applyFont="1" applyFill="1" applyBorder="1" applyAlignment="1" applyProtection="1">
      <alignment horizontal="center"/>
      <protection locked="0"/>
    </xf>
    <xf numFmtId="214" fontId="18" fillId="43" borderId="40" xfId="108" applyNumberFormat="1" applyFont="1" applyFill="1" applyBorder="1" applyAlignment="1" applyProtection="1">
      <alignment horizontal="center"/>
      <protection hidden="1"/>
    </xf>
    <xf numFmtId="214" fontId="18" fillId="43" borderId="62" xfId="108" applyNumberFormat="1" applyFont="1" applyFill="1" applyBorder="1" applyAlignment="1" applyProtection="1">
      <alignment horizontal="center"/>
      <protection hidden="1"/>
    </xf>
    <xf numFmtId="214" fontId="18" fillId="43" borderId="41" xfId="108" applyNumberFormat="1" applyFont="1" applyFill="1" applyBorder="1" applyAlignment="1" applyProtection="1">
      <alignment horizontal="center"/>
      <protection hidden="1"/>
    </xf>
    <xf numFmtId="0" fontId="46" fillId="43" borderId="100" xfId="108" applyFont="1" applyFill="1" applyBorder="1" applyAlignment="1" applyProtection="1">
      <alignment horizontal="center"/>
      <protection hidden="1"/>
    </xf>
    <xf numFmtId="0" fontId="46" fillId="43" borderId="112" xfId="108" applyFont="1" applyFill="1" applyBorder="1" applyAlignment="1" applyProtection="1">
      <alignment horizontal="center"/>
      <protection hidden="1"/>
    </xf>
    <xf numFmtId="0" fontId="46" fillId="43" borderId="38" xfId="108" applyFont="1" applyFill="1" applyBorder="1" applyAlignment="1" applyProtection="1">
      <alignment horizontal="center"/>
      <protection hidden="1"/>
    </xf>
    <xf numFmtId="191" fontId="18" fillId="43" borderId="39" xfId="98" applyFont="1" applyFill="1" applyBorder="1" applyAlignment="1" applyProtection="1">
      <alignment horizontal="center"/>
      <protection hidden="1"/>
    </xf>
    <xf numFmtId="213" fontId="18" fillId="43" borderId="39" xfId="108" applyNumberFormat="1" applyFont="1" applyFill="1" applyBorder="1" applyAlignment="1" applyProtection="1">
      <alignment horizontal="center"/>
      <protection hidden="1"/>
    </xf>
    <xf numFmtId="214" fontId="18" fillId="43" borderId="40" xfId="108" applyNumberFormat="1" applyFont="1" applyFill="1" applyBorder="1" applyAlignment="1" applyProtection="1">
      <alignment/>
      <protection hidden="1"/>
    </xf>
    <xf numFmtId="214" fontId="18" fillId="43" borderId="62" xfId="108" applyNumberFormat="1" applyFont="1" applyFill="1" applyBorder="1" applyAlignment="1" applyProtection="1">
      <alignment/>
      <protection hidden="1"/>
    </xf>
    <xf numFmtId="214" fontId="18" fillId="43" borderId="41" xfId="108" applyNumberFormat="1" applyFont="1" applyFill="1" applyBorder="1" applyAlignment="1" applyProtection="1">
      <alignment/>
      <protection hidden="1"/>
    </xf>
    <xf numFmtId="0" fontId="18" fillId="43" borderId="46" xfId="108" applyFont="1" applyFill="1" applyBorder="1" applyAlignment="1" applyProtection="1">
      <alignment/>
      <protection hidden="1"/>
    </xf>
    <xf numFmtId="0" fontId="18" fillId="43" borderId="39" xfId="108" applyFont="1" applyFill="1" applyBorder="1" applyAlignment="1" applyProtection="1">
      <alignment horizontal="left"/>
      <protection hidden="1"/>
    </xf>
    <xf numFmtId="0" fontId="18" fillId="43" borderId="40" xfId="108" applyFont="1" applyFill="1" applyBorder="1" applyAlignment="1" applyProtection="1">
      <alignment horizontal="left"/>
      <protection hidden="1"/>
    </xf>
    <xf numFmtId="215" fontId="18" fillId="43" borderId="41" xfId="108" applyNumberFormat="1" applyFont="1" applyFill="1" applyBorder="1" applyAlignment="1" applyProtection="1">
      <alignment horizontal="center"/>
      <protection locked="0"/>
    </xf>
    <xf numFmtId="215" fontId="18" fillId="43" borderId="39" xfId="108" applyNumberFormat="1" applyFont="1" applyFill="1" applyBorder="1" applyAlignment="1" applyProtection="1">
      <alignment horizontal="center"/>
      <protection locked="0"/>
    </xf>
    <xf numFmtId="0" fontId="18" fillId="43" borderId="39" xfId="108" applyFont="1" applyFill="1" applyBorder="1" applyAlignment="1" applyProtection="1">
      <alignment/>
      <protection hidden="1"/>
    </xf>
    <xf numFmtId="0" fontId="18" fillId="43" borderId="56" xfId="108" applyFont="1" applyFill="1" applyBorder="1" applyAlignment="1" applyProtection="1">
      <alignment horizontal="left"/>
      <protection hidden="1"/>
    </xf>
    <xf numFmtId="0" fontId="18" fillId="43" borderId="57" xfId="108" applyFont="1" applyFill="1" applyBorder="1" applyAlignment="1" applyProtection="1">
      <alignment horizontal="left"/>
      <protection hidden="1"/>
    </xf>
    <xf numFmtId="215" fontId="18" fillId="43" borderId="58" xfId="108" applyNumberFormat="1" applyFont="1" applyFill="1" applyBorder="1" applyAlignment="1" applyProtection="1">
      <alignment horizontal="center"/>
      <protection locked="0"/>
    </xf>
    <xf numFmtId="215" fontId="18" fillId="43" borderId="56" xfId="108" applyNumberFormat="1" applyFont="1" applyFill="1" applyBorder="1" applyAlignment="1" applyProtection="1">
      <alignment horizontal="center"/>
      <protection locked="0"/>
    </xf>
    <xf numFmtId="191" fontId="146" fillId="43" borderId="56" xfId="98" applyFont="1" applyFill="1" applyBorder="1" applyAlignment="1" applyProtection="1">
      <alignment horizontal="center"/>
      <protection hidden="1"/>
    </xf>
    <xf numFmtId="213" fontId="18" fillId="43" borderId="56" xfId="108" applyNumberFormat="1" applyFont="1" applyFill="1" applyBorder="1" applyAlignment="1" applyProtection="1">
      <alignment horizontal="center"/>
      <protection hidden="1"/>
    </xf>
    <xf numFmtId="191" fontId="18" fillId="43" borderId="57" xfId="98" applyFont="1" applyFill="1" applyBorder="1" applyAlignment="1" applyProtection="1">
      <alignment/>
      <protection hidden="1"/>
    </xf>
    <xf numFmtId="191" fontId="18" fillId="43" borderId="64" xfId="98" applyFont="1" applyFill="1" applyBorder="1" applyAlignment="1" applyProtection="1">
      <alignment/>
      <protection hidden="1"/>
    </xf>
    <xf numFmtId="191" fontId="18" fillId="43" borderId="58" xfId="98" applyFont="1" applyFill="1" applyBorder="1" applyAlignment="1" applyProtection="1">
      <alignment/>
      <protection hidden="1"/>
    </xf>
    <xf numFmtId="0" fontId="18" fillId="43" borderId="56" xfId="108" applyFont="1" applyFill="1" applyBorder="1" applyAlignment="1" applyProtection="1">
      <alignment/>
      <protection hidden="1"/>
    </xf>
    <xf numFmtId="0" fontId="46" fillId="43" borderId="113" xfId="108" applyFont="1" applyFill="1" applyBorder="1" applyAlignment="1" applyProtection="1">
      <alignment horizontal="center"/>
      <protection hidden="1"/>
    </xf>
    <xf numFmtId="0" fontId="46" fillId="43" borderId="105" xfId="108" applyFont="1" applyFill="1" applyBorder="1" applyAlignment="1" applyProtection="1">
      <alignment horizontal="center"/>
      <protection hidden="1"/>
    </xf>
    <xf numFmtId="43" fontId="46" fillId="43" borderId="114" xfId="100" applyNumberFormat="1" applyFont="1" applyFill="1" applyBorder="1" applyAlignment="1" applyProtection="1">
      <alignment horizontal="center"/>
      <protection hidden="1"/>
    </xf>
    <xf numFmtId="43" fontId="46" fillId="43" borderId="115" xfId="100" applyNumberFormat="1" applyFont="1" applyFill="1" applyBorder="1" applyAlignment="1" applyProtection="1">
      <alignment horizontal="center"/>
      <protection hidden="1"/>
    </xf>
    <xf numFmtId="43" fontId="46" fillId="43" borderId="116" xfId="100" applyNumberFormat="1" applyFont="1" applyFill="1" applyBorder="1" applyAlignment="1" applyProtection="1">
      <alignment horizontal="center"/>
      <protection hidden="1"/>
    </xf>
    <xf numFmtId="0" fontId="18" fillId="43" borderId="0" xfId="108" applyFont="1" applyFill="1" applyBorder="1" applyAlignment="1" applyProtection="1">
      <alignment horizontal="left" vertical="top" indent="1"/>
      <protection hidden="1"/>
    </xf>
    <xf numFmtId="0" fontId="46" fillId="43" borderId="66" xfId="108" applyFont="1" applyFill="1" applyBorder="1" applyAlignment="1" applyProtection="1">
      <alignment horizontal="center"/>
      <protection hidden="1"/>
    </xf>
    <xf numFmtId="43" fontId="18" fillId="43" borderId="66" xfId="100" applyNumberFormat="1" applyFont="1" applyFill="1" applyBorder="1" applyAlignment="1" applyProtection="1">
      <alignment horizontal="center"/>
      <protection locked="0"/>
    </xf>
    <xf numFmtId="43" fontId="18" fillId="43" borderId="66" xfId="100" applyFont="1" applyFill="1" applyBorder="1" applyAlignment="1" applyProtection="1">
      <alignment horizontal="center"/>
      <protection hidden="1"/>
    </xf>
    <xf numFmtId="0" fontId="18" fillId="43" borderId="0" xfId="108" applyFont="1" applyFill="1" applyBorder="1" applyAlignment="1" applyProtection="1">
      <alignment horizontal="center"/>
      <protection hidden="1"/>
    </xf>
    <xf numFmtId="0" fontId="18" fillId="43" borderId="0" xfId="108" applyFont="1" applyFill="1" applyBorder="1" applyAlignment="1" applyProtection="1">
      <alignment horizontal="left"/>
      <protection hidden="1"/>
    </xf>
    <xf numFmtId="0" fontId="54" fillId="0" borderId="0" xfId="108" applyFont="1" applyBorder="1" applyAlignment="1">
      <alignment horizontal="center"/>
      <protection/>
    </xf>
    <xf numFmtId="0" fontId="52" fillId="37" borderId="0" xfId="108" applyFont="1" applyFill="1" applyBorder="1" applyAlignment="1">
      <alignment horizontal="center" vertical="center"/>
      <protection/>
    </xf>
    <xf numFmtId="0" fontId="46" fillId="0" borderId="27" xfId="108" applyFont="1" applyFill="1" applyBorder="1" applyAlignment="1">
      <alignment horizontal="center" vertical="center"/>
      <protection/>
    </xf>
    <xf numFmtId="0" fontId="18" fillId="0" borderId="35" xfId="108" applyFont="1" applyFill="1" applyBorder="1" applyAlignment="1">
      <alignment horizontal="center" vertical="center"/>
      <protection/>
    </xf>
    <xf numFmtId="0" fontId="18" fillId="0" borderId="27" xfId="108" applyFont="1" applyFill="1" applyBorder="1" applyAlignment="1">
      <alignment horizontal="center" vertical="center"/>
      <protection/>
    </xf>
    <xf numFmtId="0" fontId="53" fillId="0" borderId="27" xfId="108" applyFont="1" applyFill="1" applyBorder="1" applyAlignment="1">
      <alignment horizontal="center" vertical="center"/>
      <protection/>
    </xf>
    <xf numFmtId="0" fontId="54" fillId="0" borderId="35" xfId="108" applyFont="1" applyFill="1" applyBorder="1" applyAlignment="1">
      <alignment horizontal="center" vertical="center"/>
      <protection/>
    </xf>
    <xf numFmtId="0" fontId="133" fillId="41" borderId="0" xfId="0" applyFont="1" applyFill="1" applyAlignment="1">
      <alignment horizontal="center"/>
    </xf>
    <xf numFmtId="0" fontId="147" fillId="41" borderId="0" xfId="0" applyFont="1" applyFill="1" applyAlignment="1">
      <alignment horizontal="center"/>
    </xf>
    <xf numFmtId="0" fontId="6" fillId="40" borderId="0" xfId="0" applyFont="1" applyFill="1" applyAlignment="1">
      <alignment horizontal="right"/>
    </xf>
    <xf numFmtId="0" fontId="3" fillId="41" borderId="0" xfId="70" applyFont="1" applyFill="1" applyAlignment="1" applyProtection="1">
      <alignment horizontal="center"/>
      <protection/>
    </xf>
    <xf numFmtId="191" fontId="6" fillId="43" borderId="0" xfId="98" applyFont="1" applyFill="1" applyBorder="1" applyAlignment="1" applyProtection="1">
      <alignment/>
      <protection locked="0"/>
    </xf>
    <xf numFmtId="192" fontId="9" fillId="8" borderId="0" xfId="98" applyNumberFormat="1" applyFont="1" applyFill="1" applyBorder="1" applyAlignment="1">
      <alignment/>
    </xf>
    <xf numFmtId="192" fontId="4" fillId="2" borderId="0" xfId="98" applyNumberFormat="1" applyFont="1" applyFill="1" applyBorder="1" applyAlignment="1">
      <alignment/>
    </xf>
    <xf numFmtId="0" fontId="20" fillId="8" borderId="0" xfId="0" applyFont="1" applyFill="1" applyBorder="1" applyAlignment="1">
      <alignment horizontal="center"/>
    </xf>
    <xf numFmtId="0" fontId="3" fillId="0" borderId="0" xfId="7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91" fontId="7" fillId="14" borderId="0" xfId="98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42" borderId="117" xfId="0" applyFont="1" applyFill="1" applyBorder="1" applyAlignment="1">
      <alignment horizontal="center" vertical="center" wrapText="1"/>
    </xf>
    <xf numFmtId="0" fontId="5" fillId="42" borderId="118" xfId="0" applyFont="1" applyFill="1" applyBorder="1" applyAlignment="1">
      <alignment horizontal="center" vertical="center"/>
    </xf>
    <xf numFmtId="0" fontId="5" fillId="42" borderId="26" xfId="0" applyFont="1" applyFill="1" applyBorder="1" applyAlignment="1">
      <alignment horizontal="center" vertical="center" wrapText="1"/>
    </xf>
    <xf numFmtId="0" fontId="5" fillId="42" borderId="26" xfId="0" applyFont="1" applyFill="1" applyBorder="1" applyAlignment="1">
      <alignment horizontal="center" vertical="center"/>
    </xf>
    <xf numFmtId="0" fontId="5" fillId="42" borderId="16" xfId="0" applyFont="1" applyFill="1" applyBorder="1" applyAlignment="1">
      <alignment horizontal="center" vertical="center"/>
    </xf>
    <xf numFmtId="0" fontId="5" fillId="42" borderId="119" xfId="0" applyFont="1" applyFill="1" applyBorder="1" applyAlignment="1">
      <alignment horizontal="center" vertical="center"/>
    </xf>
    <xf numFmtId="0" fontId="5" fillId="42" borderId="120" xfId="0" applyFont="1" applyFill="1" applyBorder="1" applyAlignment="1">
      <alignment horizontal="center" vertical="center"/>
    </xf>
    <xf numFmtId="0" fontId="4" fillId="42" borderId="26" xfId="0" applyFont="1" applyFill="1" applyBorder="1" applyAlignment="1">
      <alignment wrapText="1"/>
    </xf>
    <xf numFmtId="0" fontId="4" fillId="42" borderId="16" xfId="0" applyFont="1" applyFill="1" applyBorder="1" applyAlignment="1">
      <alignment wrapText="1"/>
    </xf>
    <xf numFmtId="0" fontId="5" fillId="42" borderId="119" xfId="0" applyFont="1" applyFill="1" applyBorder="1" applyAlignment="1">
      <alignment horizontal="center" wrapText="1"/>
    </xf>
    <xf numFmtId="0" fontId="5" fillId="42" borderId="120" xfId="0" applyFont="1" applyFill="1" applyBorder="1" applyAlignment="1">
      <alignment horizontal="center"/>
    </xf>
    <xf numFmtId="192" fontId="9" fillId="8" borderId="0" xfId="98" applyNumberFormat="1" applyFont="1" applyFill="1" applyBorder="1" applyAlignment="1">
      <alignment/>
    </xf>
    <xf numFmtId="0" fontId="4" fillId="48" borderId="0" xfId="0" applyFont="1" applyFill="1" applyBorder="1" applyAlignment="1">
      <alignment horizontal="center"/>
    </xf>
    <xf numFmtId="192" fontId="4" fillId="42" borderId="26" xfId="98" applyNumberFormat="1" applyFont="1" applyFill="1" applyBorder="1" applyAlignment="1">
      <alignment/>
    </xf>
    <xf numFmtId="192" fontId="4" fillId="42" borderId="16" xfId="98" applyNumberFormat="1" applyFont="1" applyFill="1" applyBorder="1" applyAlignment="1">
      <alignment/>
    </xf>
    <xf numFmtId="192" fontId="4" fillId="42" borderId="26" xfId="98" applyNumberFormat="1" applyFont="1" applyFill="1" applyBorder="1" applyAlignment="1">
      <alignment wrapText="1"/>
    </xf>
    <xf numFmtId="0" fontId="4" fillId="42" borderId="26" xfId="0" applyFont="1" applyFill="1" applyBorder="1" applyAlignment="1">
      <alignment/>
    </xf>
    <xf numFmtId="0" fontId="4" fillId="42" borderId="16" xfId="0" applyFont="1" applyFill="1" applyBorder="1" applyAlignment="1">
      <alignment/>
    </xf>
    <xf numFmtId="0" fontId="3" fillId="0" borderId="0" xfId="70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42" borderId="26" xfId="0" applyFont="1" applyFill="1" applyBorder="1" applyAlignment="1">
      <alignment horizontal="center" wrapText="1"/>
    </xf>
    <xf numFmtId="0" fontId="5" fillId="42" borderId="16" xfId="0" applyFont="1" applyFill="1" applyBorder="1" applyAlignment="1">
      <alignment horizontal="center"/>
    </xf>
    <xf numFmtId="0" fontId="21" fillId="8" borderId="0" xfId="0" applyFont="1" applyFill="1" applyBorder="1" applyAlignment="1">
      <alignment horizontal="center"/>
    </xf>
    <xf numFmtId="0" fontId="3" fillId="37" borderId="0" xfId="70" applyFont="1" applyFill="1" applyBorder="1" applyAlignment="1" applyProtection="1">
      <alignment horizontal="center"/>
      <protection/>
    </xf>
    <xf numFmtId="0" fontId="5" fillId="42" borderId="121" xfId="0" applyFont="1" applyFill="1" applyBorder="1" applyAlignment="1">
      <alignment horizontal="center" vertical="center"/>
    </xf>
    <xf numFmtId="0" fontId="5" fillId="42" borderId="27" xfId="0" applyFont="1" applyFill="1" applyBorder="1" applyAlignment="1">
      <alignment horizontal="center" vertical="center"/>
    </xf>
    <xf numFmtId="0" fontId="5" fillId="42" borderId="122" xfId="0" applyFont="1" applyFill="1" applyBorder="1" applyAlignment="1">
      <alignment horizontal="center" vertical="center"/>
    </xf>
    <xf numFmtId="0" fontId="148" fillId="0" borderId="0" xfId="0" applyFont="1" applyAlignment="1">
      <alignment horizontal="center"/>
    </xf>
    <xf numFmtId="0" fontId="129" fillId="0" borderId="0" xfId="0" applyFont="1" applyAlignment="1">
      <alignment horizontal="center"/>
    </xf>
    <xf numFmtId="0" fontId="136" fillId="14" borderId="123" xfId="0" applyFont="1" applyFill="1" applyBorder="1" applyAlignment="1" applyProtection="1">
      <alignment horizontal="center"/>
      <protection locked="0"/>
    </xf>
    <xf numFmtId="0" fontId="149" fillId="49" borderId="124" xfId="0" applyFont="1" applyFill="1" applyBorder="1" applyAlignment="1">
      <alignment horizontal="center"/>
    </xf>
    <xf numFmtId="0" fontId="149" fillId="49" borderId="125" xfId="0" applyFont="1" applyFill="1" applyBorder="1" applyAlignment="1">
      <alignment horizontal="center"/>
    </xf>
    <xf numFmtId="0" fontId="149" fillId="49" borderId="126" xfId="0" applyFont="1" applyFill="1" applyBorder="1" applyAlignment="1">
      <alignment horizontal="center"/>
    </xf>
  </cellXfs>
  <cellStyles count="116">
    <cellStyle name="Normal" xfId="0"/>
    <cellStyle name=",;F'KOIT[[WAAHK" xfId="15"/>
    <cellStyle name="?? [0.00]_????" xfId="16"/>
    <cellStyle name="?? [0]_PERSONAL" xfId="17"/>
    <cellStyle name="???? [0.00]_????" xfId="18"/>
    <cellStyle name="??????[0]_PERSONAL" xfId="19"/>
    <cellStyle name="??????PERSONAL" xfId="20"/>
    <cellStyle name="?????[0]_PERSONAL" xfId="21"/>
    <cellStyle name="?????PERSONAL" xfId="22"/>
    <cellStyle name="????_????" xfId="23"/>
    <cellStyle name="???[0]_PERSONAL" xfId="24"/>
    <cellStyle name="???_PERSONAL" xfId="25"/>
    <cellStyle name="??_??" xfId="26"/>
    <cellStyle name="?@??laroux" xfId="27"/>
    <cellStyle name="=C:\WINDOWS\SYSTEM32\COMMAND.COM" xfId="28"/>
    <cellStyle name="20% - ส่วนที่ถูกเน้น1" xfId="29"/>
    <cellStyle name="20% - ส่วนที่ถูกเน้น2" xfId="30"/>
    <cellStyle name="20% - ส่วนที่ถูกเน้น3" xfId="31"/>
    <cellStyle name="20% - ส่วนที่ถูกเน้น4" xfId="32"/>
    <cellStyle name="20% - ส่วนที่ถูกเน้น5" xfId="33"/>
    <cellStyle name="20% - ส่วนที่ถูกเน้น6" xfId="34"/>
    <cellStyle name="40% - ส่วนที่ถูกเน้น1" xfId="35"/>
    <cellStyle name="40% - ส่วนที่ถูกเน้น2" xfId="36"/>
    <cellStyle name="40% - ส่วนที่ถูกเน้น3" xfId="37"/>
    <cellStyle name="40% - ส่วนที่ถูกเน้น4" xfId="38"/>
    <cellStyle name="40% - ส่วนที่ถูกเน้น5" xfId="39"/>
    <cellStyle name="40% - ส่วนที่ถูกเน้น6" xfId="40"/>
    <cellStyle name="60% - ส่วนที่ถูกเน้น1" xfId="41"/>
    <cellStyle name="60% - ส่วนที่ถูกเน้น2" xfId="42"/>
    <cellStyle name="60% - ส่วนที่ถูกเน้น3" xfId="43"/>
    <cellStyle name="60% - ส่วนที่ถูกเน้น4" xfId="44"/>
    <cellStyle name="60% - ส่วนที่ถูกเน้น5" xfId="45"/>
    <cellStyle name="60% - ส่วนที่ถูกเน้น6" xfId="46"/>
    <cellStyle name="abc" xfId="47"/>
    <cellStyle name="Calc Currency (0)" xfId="48"/>
    <cellStyle name="Calc Currency (2)" xfId="49"/>
    <cellStyle name="Calc Percent (0)" xfId="50"/>
    <cellStyle name="Calc Percent (1)" xfId="51"/>
    <cellStyle name="Calc Percent (2)" xfId="52"/>
    <cellStyle name="Calc Units (0)" xfId="53"/>
    <cellStyle name="Calc Units (1)" xfId="54"/>
    <cellStyle name="Calc Units (2)" xfId="55"/>
    <cellStyle name="Comma [00]" xfId="56"/>
    <cellStyle name="company_title" xfId="57"/>
    <cellStyle name="Currency [00]" xfId="58"/>
    <cellStyle name="Date Short" xfId="59"/>
    <cellStyle name="date_format" xfId="60"/>
    <cellStyle name="Enter Currency (0)" xfId="61"/>
    <cellStyle name="Enter Currency (2)" xfId="62"/>
    <cellStyle name="Enter Units (0)" xfId="63"/>
    <cellStyle name="Enter Units (1)" xfId="64"/>
    <cellStyle name="Enter Units (2)" xfId="65"/>
    <cellStyle name="Followed Hyperlink" xfId="66"/>
    <cellStyle name="Grey" xfId="67"/>
    <cellStyle name="Header1" xfId="68"/>
    <cellStyle name="Header2" xfId="69"/>
    <cellStyle name="Hyperlink" xfId="70"/>
    <cellStyle name="Input [yellow]" xfId="71"/>
    <cellStyle name="Link Currency (0)" xfId="72"/>
    <cellStyle name="Link Currency (2)" xfId="73"/>
    <cellStyle name="Link Units (0)" xfId="74"/>
    <cellStyle name="Link Units (1)" xfId="75"/>
    <cellStyle name="Link Units (2)" xfId="76"/>
    <cellStyle name="Normal - Style1" xfId="77"/>
    <cellStyle name="Normal_ต่อเติมโรงจอดรถ รยล.โครงการปรับปรุงพระที่นั่งอัมพรสถาน ( เปลี่ยนแปลงฐานราก )" xfId="78"/>
    <cellStyle name="ParaBirimi [0]_RESULTS" xfId="79"/>
    <cellStyle name="ParaBirimi_RESULTS" xfId="80"/>
    <cellStyle name="Percent [0]" xfId="81"/>
    <cellStyle name="Percent [00]" xfId="82"/>
    <cellStyle name="Percent [2]" xfId="83"/>
    <cellStyle name="PrePop Currency (0)" xfId="84"/>
    <cellStyle name="PrePop Currency (2)" xfId="85"/>
    <cellStyle name="PrePop Units (0)" xfId="86"/>
    <cellStyle name="PrePop Units (1)" xfId="87"/>
    <cellStyle name="PrePop Units (2)" xfId="88"/>
    <cellStyle name="report_title" xfId="89"/>
    <cellStyle name="Text Indent A" xfId="90"/>
    <cellStyle name="Text Indent B" xfId="91"/>
    <cellStyle name="Text Indent C" xfId="92"/>
    <cellStyle name="Virg? [0]_RESULTS" xfId="93"/>
    <cellStyle name="Virg?_RESULTS" xfId="94"/>
    <cellStyle name="การคำนวณ" xfId="95"/>
    <cellStyle name="ข้อความเตือน" xfId="96"/>
    <cellStyle name="ข้อความอธิบาย" xfId="97"/>
    <cellStyle name="Comma" xfId="98"/>
    <cellStyle name="Comma [0]" xfId="99"/>
    <cellStyle name="เครื่องหมายจุลภาค 2" xfId="100"/>
    <cellStyle name="เครื่องหมายจุลภาค 4" xfId="101"/>
    <cellStyle name="Currency" xfId="102"/>
    <cellStyle name="Currency [0]" xfId="103"/>
    <cellStyle name="ชื่อเรื่อง" xfId="104"/>
    <cellStyle name="เซลล์ตรวจสอบ" xfId="105"/>
    <cellStyle name="เซลล์ที่มีการเชื่อมโยง" xfId="106"/>
    <cellStyle name="ดี" xfId="107"/>
    <cellStyle name="ปกติ 2" xfId="108"/>
    <cellStyle name="ปกติ 3 2" xfId="109"/>
    <cellStyle name="ปกติ 7" xfId="110"/>
    <cellStyle name="ปกติ_ข้อมูลค่าขนส่ง 49" xfId="111"/>
    <cellStyle name="ป้อนค่า" xfId="112"/>
    <cellStyle name="ปานกลาง" xfId="113"/>
    <cellStyle name="Percent" xfId="114"/>
    <cellStyle name="เปอร์เซ็นต์ 3" xfId="115"/>
    <cellStyle name="ผลรวม" xfId="116"/>
    <cellStyle name="แย่" xfId="117"/>
    <cellStyle name="ส่วนที่ถูกเน้น1" xfId="118"/>
    <cellStyle name="ส่วนที่ถูกเน้น2" xfId="119"/>
    <cellStyle name="ส่วนที่ถูกเน้น3" xfId="120"/>
    <cellStyle name="ส่วนที่ถูกเน้น4" xfId="121"/>
    <cellStyle name="ส่วนที่ถูกเน้น5" xfId="122"/>
    <cellStyle name="ส่วนที่ถูกเน้น6" xfId="123"/>
    <cellStyle name="แสดงผล" xfId="124"/>
    <cellStyle name="หมายเหตุ" xfId="125"/>
    <cellStyle name="หัวเรื่อง 1" xfId="126"/>
    <cellStyle name="หัวเรื่อง 2" xfId="127"/>
    <cellStyle name="หัวเรื่อง 3" xfId="128"/>
    <cellStyle name="หัวเรื่อง 4" xfId="1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yotathai.net/" TargetMode="External" /><Relationship Id="rId3" Type="http://schemas.openxmlformats.org/officeDocument/2006/relationships/hyperlink" Target="http://www.yotathai.net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yotathai.net/" TargetMode="External" /><Relationship Id="rId3" Type="http://schemas.openxmlformats.org/officeDocument/2006/relationships/hyperlink" Target="http://www.yotathai.net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yotathai.net/" TargetMode="External" /><Relationship Id="rId3" Type="http://schemas.openxmlformats.org/officeDocument/2006/relationships/hyperlink" Target="http://www.yotathai.net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yotathai.net/" TargetMode="External" /><Relationship Id="rId3" Type="http://schemas.openxmlformats.org/officeDocument/2006/relationships/hyperlink" Target="http://www.yotathai.net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yotathai.net/" TargetMode="External" /><Relationship Id="rId3" Type="http://schemas.openxmlformats.org/officeDocument/2006/relationships/hyperlink" Target="http://www.yotathai.ne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590550</xdr:colOff>
      <xdr:row>0</xdr:row>
      <xdr:rowOff>123825</xdr:rowOff>
    </xdr:from>
    <xdr:to>
      <xdr:col>10</xdr:col>
      <xdr:colOff>38100</xdr:colOff>
      <xdr:row>1</xdr:row>
      <xdr:rowOff>200025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23825"/>
          <a:ext cx="352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190500</xdr:colOff>
      <xdr:row>1</xdr:row>
      <xdr:rowOff>0</xdr:rowOff>
    </xdr:from>
    <xdr:to>
      <xdr:col>18</xdr:col>
      <xdr:colOff>47625</xdr:colOff>
      <xdr:row>2</xdr:row>
      <xdr:rowOff>85725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276225"/>
          <a:ext cx="352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25</xdr:row>
      <xdr:rowOff>190500</xdr:rowOff>
    </xdr:from>
    <xdr:to>
      <xdr:col>14</xdr:col>
      <xdr:colOff>200025</xdr:colOff>
      <xdr:row>27</xdr:row>
      <xdr:rowOff>209550</xdr:rowOff>
    </xdr:to>
    <xdr:pic>
      <xdr:nvPicPr>
        <xdr:cNvPr id="1" name="Picture 9" descr="โยธาไทย">
          <a:hlinkClick r:id="rId3"/>
        </xdr:cNvPr>
        <xdr:cNvPicPr preferRelativeResize="1">
          <a:picLocks noChangeAspect="1"/>
        </xdr:cNvPicPr>
      </xdr:nvPicPr>
      <xdr:blipFill>
        <a:blip r:embed="rId1"/>
        <a:srcRect r="57278"/>
        <a:stretch>
          <a:fillRect/>
        </a:stretch>
      </xdr:blipFill>
      <xdr:spPr>
        <a:xfrm>
          <a:off x="7086600" y="6410325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1</xdr:row>
      <xdr:rowOff>228600</xdr:rowOff>
    </xdr:from>
    <xdr:to>
      <xdr:col>4</xdr:col>
      <xdr:colOff>628650</xdr:colOff>
      <xdr:row>4</xdr:row>
      <xdr:rowOff>104775</xdr:rowOff>
    </xdr:to>
    <xdr:pic>
      <xdr:nvPicPr>
        <xdr:cNvPr id="1" name="Picture 9" descr="โยธาไทย">
          <a:hlinkClick r:id="rId3"/>
        </xdr:cNvPr>
        <xdr:cNvPicPr preferRelativeResize="1">
          <a:picLocks noChangeAspect="1"/>
        </xdr:cNvPicPr>
      </xdr:nvPicPr>
      <xdr:blipFill>
        <a:blip r:embed="rId1"/>
        <a:srcRect r="57278"/>
        <a:stretch>
          <a:fillRect/>
        </a:stretch>
      </xdr:blipFill>
      <xdr:spPr>
        <a:xfrm>
          <a:off x="1685925" y="43815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2</xdr:row>
      <xdr:rowOff>9525</xdr:rowOff>
    </xdr:from>
    <xdr:to>
      <xdr:col>4</xdr:col>
      <xdr:colOff>628650</xdr:colOff>
      <xdr:row>4</xdr:row>
      <xdr:rowOff>180975</xdr:rowOff>
    </xdr:to>
    <xdr:pic>
      <xdr:nvPicPr>
        <xdr:cNvPr id="1" name="Picture 9" descr="โยธาไทย">
          <a:hlinkClick r:id="rId3"/>
        </xdr:cNvPr>
        <xdr:cNvPicPr preferRelativeResize="1">
          <a:picLocks noChangeAspect="1"/>
        </xdr:cNvPicPr>
      </xdr:nvPicPr>
      <xdr:blipFill>
        <a:blip r:embed="rId1"/>
        <a:srcRect r="57278"/>
        <a:stretch>
          <a:fillRect/>
        </a:stretch>
      </xdr:blipFill>
      <xdr:spPr>
        <a:xfrm>
          <a:off x="1504950" y="523875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</xdr:row>
      <xdr:rowOff>247650</xdr:rowOff>
    </xdr:from>
    <xdr:to>
      <xdr:col>4</xdr:col>
      <xdr:colOff>619125</xdr:colOff>
      <xdr:row>4</xdr:row>
      <xdr:rowOff>123825</xdr:rowOff>
    </xdr:to>
    <xdr:pic>
      <xdr:nvPicPr>
        <xdr:cNvPr id="1" name="Picture 9" descr="โยธาไทย">
          <a:hlinkClick r:id="rId3"/>
        </xdr:cNvPr>
        <xdr:cNvPicPr preferRelativeResize="1">
          <a:picLocks noChangeAspect="1"/>
        </xdr:cNvPicPr>
      </xdr:nvPicPr>
      <xdr:blipFill>
        <a:blip r:embed="rId1"/>
        <a:srcRect r="57278"/>
        <a:stretch>
          <a:fillRect/>
        </a:stretch>
      </xdr:blipFill>
      <xdr:spPr>
        <a:xfrm>
          <a:off x="1552575" y="45720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</xdr:row>
      <xdr:rowOff>247650</xdr:rowOff>
    </xdr:from>
    <xdr:to>
      <xdr:col>4</xdr:col>
      <xdr:colOff>619125</xdr:colOff>
      <xdr:row>4</xdr:row>
      <xdr:rowOff>123825</xdr:rowOff>
    </xdr:to>
    <xdr:pic>
      <xdr:nvPicPr>
        <xdr:cNvPr id="1" name="Picture 9" descr="โยธาไทย">
          <a:hlinkClick r:id="rId3"/>
        </xdr:cNvPr>
        <xdr:cNvPicPr preferRelativeResize="1">
          <a:picLocks noChangeAspect="1"/>
        </xdr:cNvPicPr>
      </xdr:nvPicPr>
      <xdr:blipFill>
        <a:blip r:embed="rId1"/>
        <a:srcRect r="57278"/>
        <a:stretch>
          <a:fillRect/>
        </a:stretch>
      </xdr:blipFill>
      <xdr:spPr>
        <a:xfrm>
          <a:off x="1514475" y="45720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2;&#3656;&#3634;&#3618;&#3586;&#3634;&#3604;&#3648;&#3591;&#3636;&#3609;&#3626;&#3632;&#3626;&#3617;&#3611;&#3637;%2059\&#3611;&#3619;&#3632;&#3617;&#3634;&#3603;&#3619;&#3634;&#3588;&#3634;\&#3650;&#3588;&#3619;&#3591;&#3585;&#3634;&#3619;&#3585;&#3656;&#3629;&#3626;&#3619;&#3657;&#3634;&#3591;&#3623;&#3634;&#3591;&#3607;&#3656;&#3629;%20&#3588;&#3626;&#3621;.(&#3617;&#3629;&#3585;&#3594;&#3633;&#3657;&#3609;3)\&#3650;&#3611;&#3619;&#3649;&#3585;&#3619;&#3617;&#3611;&#3619;&#3632;&#3617;&#3634;&#3603;&#3619;&#3634;&#3588;&#3634;&#3591;&#3634;&#3609;&#3623;&#3634;&#3591;&#3607;&#3656;&#3629;%20&#3588;&#3626;&#3621;.(&#3617;&#3629;&#3585;&#3594;&#3633;&#3657;&#3609;3)%20&#3616;&#3634;&#3618;&#3651;&#3609;&#3627;&#3617;&#3641;&#3656;&#3610;&#3657;&#3634;&#3609;&#3627;&#3617;&#3641;&#3656;&#3607;&#3637;&#3656;%2014%20&#3610;&#3619;&#3636;&#3648;&#3623;&#3603;&#3610;&#3657;&#3634;&#3609;&#3609;&#3634;&#3591;&#3623;&#3637;&#3619;&#3632;%20&#3614;&#3640;&#3656;&#3617;&#3629;&#3636;&#3609;&#3607;&#3619;&#3660;%20(&#3607;&#3656;&#3629;%200.80&#3617;.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อ่านก่อน"/>
      <sheetName val="ข้อมูลโครงการ"/>
      <sheetName val="ค่าวัสดุที่แหล่ง"/>
      <sheetName val="ข้อมูลวัสดุ"/>
      <sheetName val="พาณิชย์ พ.ย.58(ส่วนกลาง)"/>
      <sheetName val="พาณิชย์ พ.ย.58"/>
      <sheetName val="ข้อมูลค่าแรงงาน"/>
      <sheetName val="BOQ"/>
      <sheetName val="ปร.4"/>
      <sheetName val="ปร.5"/>
      <sheetName val="ปริมาณงาน"/>
      <sheetName val="ไม้แบบ+คอนกรีต"/>
      <sheetName val="Unit Cost"/>
      <sheetName val="สรุปวัสดุและค่าดำเนินการ"/>
      <sheetName val="ระยะทางและค่าขนส่ง"/>
      <sheetName val="ข้อมูลงานคอนกรีต"/>
      <sheetName val="รวมตารางคำนวณ"/>
      <sheetName val="ท่อ คสล."/>
      <sheetName val="Factor F"/>
      <sheetName val="รถ 6 ล้อ"/>
      <sheetName val="ข้อมูลขนส่ง 6 ล้อ"/>
      <sheetName val="รถ 10 ล้อ"/>
      <sheetName val="ข้อมูลขนส่ง 10 ล้อ"/>
      <sheetName val="รถ 10 ล้อ+พ่วง"/>
      <sheetName val="ข้อมูลขนส่ง 10 ล้อ + ลากพ่วง"/>
      <sheetName val="ค่าดำเนินการ+ค่าเสื่อมราคา"/>
      <sheetName val="ค่าดำเนินการ+ค่าเสื่อม_2"/>
    </sheetNames>
    <sheetDataSet>
      <sheetData sheetId="18">
        <row r="6">
          <cell r="U6" t="str">
            <v>ปกติ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yotathai.net/" TargetMode="External" /><Relationship Id="rId2" Type="http://schemas.openxmlformats.org/officeDocument/2006/relationships/hyperlink" Target="http://www.yotathai.net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yotathai.net/" TargetMode="External" /><Relationship Id="rId2" Type="http://schemas.openxmlformats.org/officeDocument/2006/relationships/hyperlink" Target="http://www.facebook.com/yotathai.net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yotathai.net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yotathai.net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yotathai.net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77"/>
  <sheetViews>
    <sheetView zoomScalePageLayoutView="0" workbookViewId="0" topLeftCell="A4">
      <selection activeCell="I13" sqref="I13:P13"/>
    </sheetView>
  </sheetViews>
  <sheetFormatPr defaultColWidth="9.140625" defaultRowHeight="12.75"/>
  <cols>
    <col min="1" max="1" width="5.7109375" style="452" customWidth="1"/>
    <col min="2" max="2" width="4.8515625" style="452" customWidth="1"/>
    <col min="3" max="7" width="4.140625" style="452" customWidth="1"/>
    <col min="8" max="8" width="5.7109375" style="452" customWidth="1"/>
    <col min="9" max="9" width="7.421875" style="452" customWidth="1"/>
    <col min="10" max="10" width="9.8515625" style="452" customWidth="1"/>
    <col min="11" max="11" width="8.00390625" style="452" customWidth="1"/>
    <col min="12" max="12" width="2.7109375" style="452" customWidth="1"/>
    <col min="13" max="13" width="13.57421875" style="452" customWidth="1"/>
    <col min="14" max="14" width="10.00390625" style="452" customWidth="1"/>
    <col min="15" max="15" width="16.00390625" style="452" bestFit="1" customWidth="1"/>
    <col min="16" max="16" width="11.00390625" style="452" customWidth="1"/>
    <col min="17" max="17" width="5.28125" style="452" customWidth="1"/>
    <col min="18" max="18" width="9.140625" style="452" customWidth="1"/>
    <col min="19" max="19" width="14.00390625" style="452" customWidth="1"/>
    <col min="20" max="20" width="13.00390625" style="452" customWidth="1"/>
    <col min="21" max="22" width="9.140625" style="452" customWidth="1"/>
    <col min="23" max="25" width="9.140625" style="452" hidden="1" customWidth="1"/>
    <col min="26" max="26" width="11.421875" style="452" hidden="1" customWidth="1"/>
    <col min="27" max="27" width="9.140625" style="452" hidden="1" customWidth="1"/>
    <col min="28" max="28" width="12.8515625" style="452" hidden="1" customWidth="1"/>
    <col min="29" max="29" width="9.140625" style="452" hidden="1" customWidth="1"/>
    <col min="30" max="30" width="14.140625" style="452" hidden="1" customWidth="1"/>
    <col min="31" max="31" width="18.421875" style="452" hidden="1" customWidth="1"/>
    <col min="32" max="32" width="20.421875" style="452" hidden="1" customWidth="1"/>
    <col min="33" max="33" width="16.57421875" style="452" hidden="1" customWidth="1"/>
    <col min="34" max="34" width="9.140625" style="452" hidden="1" customWidth="1"/>
    <col min="35" max="35" width="14.7109375" style="452" hidden="1" customWidth="1"/>
    <col min="36" max="41" width="9.140625" style="452" hidden="1" customWidth="1"/>
    <col min="42" max="16384" width="9.140625" style="452" customWidth="1"/>
  </cols>
  <sheetData>
    <row r="2" spans="1:17" ht="31.5" customHeight="1">
      <c r="A2" s="558" t="s">
        <v>787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60"/>
    </row>
    <row r="3" spans="1:40" ht="21">
      <c r="A3" s="453" t="s">
        <v>788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5"/>
      <c r="O3" s="456"/>
      <c r="P3" s="456"/>
      <c r="Q3" s="457"/>
      <c r="S3" s="561" t="s">
        <v>789</v>
      </c>
      <c r="T3" s="562"/>
      <c r="X3" s="458" t="s">
        <v>790</v>
      </c>
      <c r="Z3" s="452" t="s">
        <v>791</v>
      </c>
      <c r="AB3" s="459" t="s">
        <v>792</v>
      </c>
      <c r="AD3" s="563" t="s">
        <v>793</v>
      </c>
      <c r="AE3" s="563"/>
      <c r="AF3" s="563"/>
      <c r="AG3" s="563"/>
      <c r="AI3" s="460" t="s">
        <v>794</v>
      </c>
      <c r="AJ3" s="460"/>
      <c r="AL3" s="452" t="s">
        <v>795</v>
      </c>
      <c r="AN3" s="458" t="s">
        <v>796</v>
      </c>
    </row>
    <row r="4" spans="1:40" ht="21">
      <c r="A4" s="461"/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3"/>
      <c r="O4" s="464"/>
      <c r="P4" s="464"/>
      <c r="Q4" s="465"/>
      <c r="S4" s="466" t="s">
        <v>797</v>
      </c>
      <c r="T4" s="467" t="s">
        <v>798</v>
      </c>
      <c r="X4" s="468">
        <v>20.5</v>
      </c>
      <c r="Z4" s="458">
        <f>IF($K$6="เขตฝนปกติ",0,IF($K$6="เขตฝนตกชุก 1",1,IF($K$6="เขตฝนตกชุก 2",1,"ERROR")))</f>
        <v>0</v>
      </c>
      <c r="AB4" s="469">
        <v>180</v>
      </c>
      <c r="AD4" s="470" t="s">
        <v>799</v>
      </c>
      <c r="AE4" s="470" t="s">
        <v>800</v>
      </c>
      <c r="AF4" s="470" t="s">
        <v>801</v>
      </c>
      <c r="AG4" s="470" t="s">
        <v>802</v>
      </c>
      <c r="AI4" s="564" t="s">
        <v>803</v>
      </c>
      <c r="AJ4" s="565"/>
      <c r="AL4" s="458">
        <v>6</v>
      </c>
      <c r="AN4" s="458">
        <v>7</v>
      </c>
    </row>
    <row r="5" spans="1:40" ht="21">
      <c r="A5" s="471"/>
      <c r="B5" s="472" t="s">
        <v>804</v>
      </c>
      <c r="C5" s="472"/>
      <c r="D5" s="472"/>
      <c r="E5" s="472"/>
      <c r="F5" s="472"/>
      <c r="G5" s="472"/>
      <c r="H5" s="472"/>
      <c r="I5" s="566">
        <v>20.5</v>
      </c>
      <c r="J5" s="567"/>
      <c r="K5" s="463" t="s">
        <v>5</v>
      </c>
      <c r="L5" s="463"/>
      <c r="M5" s="463"/>
      <c r="N5" s="473"/>
      <c r="O5" s="474"/>
      <c r="P5" s="475"/>
      <c r="Q5" s="476"/>
      <c r="S5" s="477" t="s">
        <v>42</v>
      </c>
      <c r="T5" s="478" t="s">
        <v>46</v>
      </c>
      <c r="X5" s="468">
        <v>21.5</v>
      </c>
      <c r="Z5" s="452" t="s">
        <v>805</v>
      </c>
      <c r="AB5" s="469">
        <v>240</v>
      </c>
      <c r="AD5" s="479">
        <v>6</v>
      </c>
      <c r="AE5" s="480">
        <v>0.222</v>
      </c>
      <c r="AF5" s="480">
        <f>AE5*10</f>
        <v>2.22</v>
      </c>
      <c r="AG5" s="481">
        <v>5</v>
      </c>
      <c r="AI5" s="568">
        <f>M55</f>
        <v>42948</v>
      </c>
      <c r="AJ5" s="569"/>
      <c r="AL5" s="458">
        <v>7</v>
      </c>
      <c r="AN5" s="458">
        <v>10</v>
      </c>
    </row>
    <row r="6" spans="1:38" ht="21">
      <c r="A6" s="471"/>
      <c r="B6" s="472" t="s">
        <v>806</v>
      </c>
      <c r="C6" s="472"/>
      <c r="D6" s="472"/>
      <c r="E6" s="472"/>
      <c r="F6" s="472"/>
      <c r="G6" s="472"/>
      <c r="H6" s="472"/>
      <c r="I6" s="566" t="s">
        <v>807</v>
      </c>
      <c r="J6" s="567"/>
      <c r="K6" s="463" t="str">
        <f>IF(I6="จังหวัดอื่นๆ","เขตฝนปกติ","เขตฝนตกชุก "&amp;'[1]Factor F'!U6)</f>
        <v>เขตฝนปกติ</v>
      </c>
      <c r="L6" s="463"/>
      <c r="M6" s="463"/>
      <c r="N6" s="473"/>
      <c r="O6" s="474"/>
      <c r="P6" s="475"/>
      <c r="Q6" s="476"/>
      <c r="S6" s="482" t="s">
        <v>43</v>
      </c>
      <c r="T6" s="483" t="s">
        <v>49</v>
      </c>
      <c r="X6" s="468">
        <v>22.5</v>
      </c>
      <c r="Z6" s="484">
        <f>I5-0.5</f>
        <v>20</v>
      </c>
      <c r="AB6" s="469">
        <v>300</v>
      </c>
      <c r="AD6" s="479">
        <v>9</v>
      </c>
      <c r="AE6" s="480">
        <v>0.499</v>
      </c>
      <c r="AF6" s="480">
        <f>AE6*10</f>
        <v>4.99</v>
      </c>
      <c r="AG6" s="481">
        <v>7</v>
      </c>
      <c r="AI6" s="570" t="s">
        <v>808</v>
      </c>
      <c r="AJ6" s="571"/>
      <c r="AL6" s="458">
        <v>8</v>
      </c>
    </row>
    <row r="7" spans="1:38" ht="22.5" customHeight="1">
      <c r="A7" s="471"/>
      <c r="B7" s="472"/>
      <c r="C7" s="472"/>
      <c r="D7" s="472"/>
      <c r="E7" s="472"/>
      <c r="F7" s="472"/>
      <c r="G7" s="472"/>
      <c r="H7" s="472"/>
      <c r="I7" s="485"/>
      <c r="J7" s="486"/>
      <c r="K7" s="463"/>
      <c r="L7" s="463"/>
      <c r="M7" s="463"/>
      <c r="N7" s="473"/>
      <c r="O7" s="475"/>
      <c r="P7" s="475"/>
      <c r="Q7" s="476"/>
      <c r="S7" s="487" t="s">
        <v>44</v>
      </c>
      <c r="T7" s="488" t="s">
        <v>52</v>
      </c>
      <c r="X7" s="468">
        <v>23.5</v>
      </c>
      <c r="AB7" s="469">
        <v>350</v>
      </c>
      <c r="AD7" s="479">
        <v>12</v>
      </c>
      <c r="AE7" s="480">
        <v>0.888</v>
      </c>
      <c r="AF7" s="480">
        <f>AE7*10</f>
        <v>8.88</v>
      </c>
      <c r="AG7" s="481">
        <v>9</v>
      </c>
      <c r="AI7" s="572" t="str">
        <f>TEXT(AI5,AI6)</f>
        <v>1 สิงหาคม 2560</v>
      </c>
      <c r="AJ7" s="573"/>
      <c r="AL7" s="458">
        <v>9</v>
      </c>
    </row>
    <row r="8" spans="1:38" ht="21">
      <c r="A8" s="489" t="s">
        <v>809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90"/>
      <c r="S8" s="491" t="s">
        <v>45</v>
      </c>
      <c r="T8" s="488" t="s">
        <v>54</v>
      </c>
      <c r="X8" s="468">
        <v>24.5</v>
      </c>
      <c r="AD8" s="479">
        <v>15</v>
      </c>
      <c r="AE8" s="480">
        <v>1.39</v>
      </c>
      <c r="AF8" s="480">
        <f>AE8*10</f>
        <v>13.899999999999999</v>
      </c>
      <c r="AG8" s="481">
        <v>11</v>
      </c>
      <c r="AI8" s="564" t="s">
        <v>810</v>
      </c>
      <c r="AJ8" s="565"/>
      <c r="AL8" s="458">
        <v>10</v>
      </c>
    </row>
    <row r="9" spans="1:36" ht="21">
      <c r="A9" s="492"/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93"/>
      <c r="S9" s="487" t="s">
        <v>47</v>
      </c>
      <c r="T9" s="488" t="s">
        <v>55</v>
      </c>
      <c r="X9" s="468">
        <v>25.5</v>
      </c>
      <c r="AD9" s="494"/>
      <c r="AE9" s="495"/>
      <c r="AF9" s="495"/>
      <c r="AG9" s="496"/>
      <c r="AI9" s="574">
        <f>M56</f>
        <v>42948</v>
      </c>
      <c r="AJ9" s="571"/>
    </row>
    <row r="10" spans="1:36" ht="21" thickBot="1">
      <c r="A10" s="471">
        <v>2.1</v>
      </c>
      <c r="B10" s="463" t="s">
        <v>811</v>
      </c>
      <c r="C10" s="463"/>
      <c r="D10" s="463"/>
      <c r="E10" s="463"/>
      <c r="F10" s="463"/>
      <c r="G10" s="463"/>
      <c r="H10" s="463"/>
      <c r="I10" s="575" t="s">
        <v>877</v>
      </c>
      <c r="J10" s="576"/>
      <c r="K10" s="576"/>
      <c r="L10" s="576"/>
      <c r="M10" s="576"/>
      <c r="N10" s="576"/>
      <c r="O10" s="576"/>
      <c r="P10" s="577"/>
      <c r="Q10" s="493"/>
      <c r="S10" s="487" t="s">
        <v>48</v>
      </c>
      <c r="T10" s="488" t="s">
        <v>56</v>
      </c>
      <c r="X10" s="468">
        <v>26.5</v>
      </c>
      <c r="Z10" s="458"/>
      <c r="AA10" s="458"/>
      <c r="AI10" s="570" t="s">
        <v>808</v>
      </c>
      <c r="AJ10" s="571"/>
    </row>
    <row r="11" spans="1:37" ht="21" thickBot="1">
      <c r="A11" s="471">
        <v>2.2</v>
      </c>
      <c r="B11" s="463" t="s">
        <v>812</v>
      </c>
      <c r="C11" s="463"/>
      <c r="D11" s="463"/>
      <c r="E11" s="463"/>
      <c r="F11" s="463"/>
      <c r="G11" s="463"/>
      <c r="H11" s="463"/>
      <c r="I11" s="575" t="s">
        <v>752</v>
      </c>
      <c r="J11" s="576"/>
      <c r="K11" s="576"/>
      <c r="L11" s="576"/>
      <c r="M11" s="576"/>
      <c r="N11" s="576"/>
      <c r="O11" s="576"/>
      <c r="P11" s="577"/>
      <c r="Q11" s="493"/>
      <c r="S11" s="487" t="s">
        <v>50</v>
      </c>
      <c r="T11" s="488"/>
      <c r="X11" s="468">
        <v>27.5</v>
      </c>
      <c r="AB11" s="497" t="s">
        <v>813</v>
      </c>
      <c r="AE11" s="498" t="s">
        <v>814</v>
      </c>
      <c r="AF11" s="458"/>
      <c r="AG11" s="499" t="s">
        <v>815</v>
      </c>
      <c r="AI11" s="572" t="str">
        <f>TEXT(AI9,AI10)</f>
        <v>1 สิงหาคม 2560</v>
      </c>
      <c r="AJ11" s="573"/>
      <c r="AK11" s="458"/>
    </row>
    <row r="12" spans="1:39" ht="21">
      <c r="A12" s="471">
        <v>2.3</v>
      </c>
      <c r="B12" s="463" t="s">
        <v>816</v>
      </c>
      <c r="C12" s="463"/>
      <c r="D12" s="463"/>
      <c r="E12" s="463"/>
      <c r="F12" s="463"/>
      <c r="G12" s="463"/>
      <c r="H12" s="463"/>
      <c r="I12" s="575" t="s">
        <v>876</v>
      </c>
      <c r="J12" s="576"/>
      <c r="K12" s="576"/>
      <c r="L12" s="576"/>
      <c r="M12" s="576"/>
      <c r="N12" s="576"/>
      <c r="O12" s="576"/>
      <c r="P12" s="577"/>
      <c r="Q12" s="500"/>
      <c r="S12" s="482" t="s">
        <v>51</v>
      </c>
      <c r="T12" s="483"/>
      <c r="X12" s="468">
        <v>28.5</v>
      </c>
      <c r="AB12" s="497" t="s">
        <v>817</v>
      </c>
      <c r="AE12" s="501">
        <v>2</v>
      </c>
      <c r="AF12" s="502" t="s">
        <v>818</v>
      </c>
      <c r="AG12" s="503">
        <v>0.15</v>
      </c>
      <c r="AI12" s="504"/>
      <c r="AJ12" s="458"/>
      <c r="AM12" s="458"/>
    </row>
    <row r="13" spans="1:36" ht="21">
      <c r="A13" s="471">
        <v>2.4</v>
      </c>
      <c r="B13" s="463" t="s">
        <v>180</v>
      </c>
      <c r="C13" s="463"/>
      <c r="D13" s="463"/>
      <c r="E13" s="463"/>
      <c r="F13" s="463"/>
      <c r="G13" s="463"/>
      <c r="H13" s="463"/>
      <c r="I13" s="575" t="s">
        <v>875</v>
      </c>
      <c r="J13" s="576"/>
      <c r="K13" s="576"/>
      <c r="L13" s="576"/>
      <c r="M13" s="576"/>
      <c r="N13" s="576"/>
      <c r="O13" s="576"/>
      <c r="P13" s="577"/>
      <c r="Q13" s="500"/>
      <c r="S13" s="482" t="s">
        <v>53</v>
      </c>
      <c r="T13" s="483"/>
      <c r="X13" s="468">
        <v>29.5</v>
      </c>
      <c r="AB13" s="497" t="s">
        <v>819</v>
      </c>
      <c r="AE13" s="501">
        <v>2.5</v>
      </c>
      <c r="AF13" s="502" t="s">
        <v>820</v>
      </c>
      <c r="AG13" s="503">
        <v>0.2</v>
      </c>
      <c r="AI13" s="505" t="s">
        <v>42</v>
      </c>
      <c r="AJ13" s="505">
        <v>1</v>
      </c>
    </row>
    <row r="14" spans="1:36" ht="21">
      <c r="A14" s="471">
        <v>2.5</v>
      </c>
      <c r="B14" s="463" t="s">
        <v>821</v>
      </c>
      <c r="C14" s="463"/>
      <c r="D14" s="463"/>
      <c r="E14" s="463"/>
      <c r="F14" s="463"/>
      <c r="G14" s="463"/>
      <c r="H14" s="463"/>
      <c r="I14" s="578" t="s">
        <v>872</v>
      </c>
      <c r="J14" s="579"/>
      <c r="K14" s="579"/>
      <c r="L14" s="579"/>
      <c r="M14" s="579"/>
      <c r="N14" s="579"/>
      <c r="O14" s="579"/>
      <c r="P14" s="580"/>
      <c r="Q14" s="500"/>
      <c r="S14" s="482" t="s">
        <v>57</v>
      </c>
      <c r="T14" s="483"/>
      <c r="X14" s="468">
        <v>30.5</v>
      </c>
      <c r="AB14" s="497" t="s">
        <v>822</v>
      </c>
      <c r="AE14" s="501">
        <v>3</v>
      </c>
      <c r="AF14" s="502"/>
      <c r="AG14" s="503">
        <v>0.23</v>
      </c>
      <c r="AI14" s="506" t="s">
        <v>43</v>
      </c>
      <c r="AJ14" s="505">
        <v>1</v>
      </c>
    </row>
    <row r="15" spans="1:36" ht="21">
      <c r="A15" s="471">
        <v>2.6</v>
      </c>
      <c r="B15" s="463" t="s">
        <v>871</v>
      </c>
      <c r="C15" s="463"/>
      <c r="D15" s="463"/>
      <c r="E15" s="463"/>
      <c r="F15" s="463"/>
      <c r="G15" s="463"/>
      <c r="H15" s="463"/>
      <c r="I15" s="552" t="s">
        <v>873</v>
      </c>
      <c r="J15" s="552"/>
      <c r="K15" s="552"/>
      <c r="L15" s="552"/>
      <c r="M15" s="552"/>
      <c r="N15" s="552"/>
      <c r="O15" s="552"/>
      <c r="P15" s="552"/>
      <c r="Q15" s="500"/>
      <c r="S15" s="482"/>
      <c r="T15" s="483"/>
      <c r="X15" s="468"/>
      <c r="AB15" s="553"/>
      <c r="AE15" s="501"/>
      <c r="AF15" s="502"/>
      <c r="AG15" s="503"/>
      <c r="AI15" s="506"/>
      <c r="AJ15" s="505"/>
    </row>
    <row r="16" spans="1:36" ht="21">
      <c r="A16" s="489" t="s">
        <v>823</v>
      </c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507"/>
      <c r="N16" s="507"/>
      <c r="O16" s="507"/>
      <c r="P16" s="507"/>
      <c r="Q16" s="508"/>
      <c r="S16" s="482" t="s">
        <v>58</v>
      </c>
      <c r="T16" s="483"/>
      <c r="X16" s="468">
        <v>31.5</v>
      </c>
      <c r="AE16" s="501">
        <v>3.5</v>
      </c>
      <c r="AF16" s="502"/>
      <c r="AG16" s="503">
        <v>0.25</v>
      </c>
      <c r="AI16" s="509" t="s">
        <v>44</v>
      </c>
      <c r="AJ16" s="505">
        <v>1</v>
      </c>
    </row>
    <row r="17" spans="1:36" ht="21">
      <c r="A17" s="471">
        <v>3.1</v>
      </c>
      <c r="B17" s="463" t="str">
        <f>I10</f>
        <v>ก่อสร้างศาลานั่งพักริมทางภายในหมู่บ้านหมู่ที่ 8 </v>
      </c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510"/>
      <c r="N17" s="510"/>
      <c r="O17" s="510"/>
      <c r="P17" s="510"/>
      <c r="Q17" s="500"/>
      <c r="R17" s="511"/>
      <c r="X17" s="468">
        <v>41.5</v>
      </c>
      <c r="AB17" s="497" t="s">
        <v>824</v>
      </c>
      <c r="AI17" s="506" t="s">
        <v>60</v>
      </c>
      <c r="AJ17" s="505">
        <v>1</v>
      </c>
    </row>
    <row r="18" spans="1:36" ht="21" thickBot="1">
      <c r="A18" s="471"/>
      <c r="B18" s="463"/>
      <c r="C18" s="463"/>
      <c r="D18" s="463"/>
      <c r="E18" s="463"/>
      <c r="F18" s="463"/>
      <c r="G18" s="463"/>
      <c r="H18" s="463"/>
      <c r="I18" s="463"/>
      <c r="J18" s="512"/>
      <c r="K18" s="463"/>
      <c r="L18" s="463"/>
      <c r="M18" s="513"/>
      <c r="N18" s="510"/>
      <c r="O18" s="510"/>
      <c r="P18" s="510"/>
      <c r="Q18" s="514"/>
      <c r="R18" s="511"/>
      <c r="X18" s="468"/>
      <c r="AB18" s="497"/>
      <c r="AI18" s="506"/>
      <c r="AJ18" s="505"/>
    </row>
    <row r="19" spans="1:36" ht="21">
      <c r="A19" s="471"/>
      <c r="B19" s="463"/>
      <c r="C19" s="463"/>
      <c r="D19" s="463"/>
      <c r="E19" s="463"/>
      <c r="F19" s="463"/>
      <c r="G19" s="463"/>
      <c r="H19" s="463"/>
      <c r="I19" s="515"/>
      <c r="J19" s="516"/>
      <c r="K19" s="463"/>
      <c r="L19" s="512"/>
      <c r="M19" s="516"/>
      <c r="N19" s="463" t="s">
        <v>192</v>
      </c>
      <c r="O19" s="510"/>
      <c r="P19" s="463"/>
      <c r="Q19" s="463"/>
      <c r="X19" s="468">
        <v>42.5</v>
      </c>
      <c r="AB19" s="497">
        <v>15</v>
      </c>
      <c r="AI19" s="505" t="s">
        <v>46</v>
      </c>
      <c r="AJ19" s="505">
        <v>2</v>
      </c>
    </row>
    <row r="20" spans="1:36" ht="21">
      <c r="A20" s="471"/>
      <c r="B20" s="463"/>
      <c r="C20" s="463"/>
      <c r="D20" s="463"/>
      <c r="E20" s="463"/>
      <c r="F20" s="463"/>
      <c r="G20" s="463"/>
      <c r="H20" s="463"/>
      <c r="I20" s="463"/>
      <c r="J20" s="517"/>
      <c r="K20" s="463"/>
      <c r="L20" s="512"/>
      <c r="M20" s="517"/>
      <c r="N20" s="463" t="s">
        <v>192</v>
      </c>
      <c r="O20" s="510"/>
      <c r="P20" s="463"/>
      <c r="Q20" s="493"/>
      <c r="X20" s="468">
        <v>43.5</v>
      </c>
      <c r="AB20" s="497">
        <v>19</v>
      </c>
      <c r="AI20" s="506" t="s">
        <v>49</v>
      </c>
      <c r="AJ20" s="505">
        <v>2</v>
      </c>
    </row>
    <row r="21" spans="1:36" ht="21">
      <c r="A21" s="471"/>
      <c r="B21" s="463"/>
      <c r="C21" s="463"/>
      <c r="D21" s="463"/>
      <c r="E21" s="463"/>
      <c r="F21" s="463"/>
      <c r="G21" s="463"/>
      <c r="H21" s="463"/>
      <c r="I21" s="463"/>
      <c r="J21" s="517"/>
      <c r="K21" s="463"/>
      <c r="L21" s="512"/>
      <c r="M21" s="517"/>
      <c r="N21" s="463" t="s">
        <v>192</v>
      </c>
      <c r="O21" s="510"/>
      <c r="P21" s="463"/>
      <c r="Q21" s="493"/>
      <c r="X21" s="468">
        <v>44.5</v>
      </c>
      <c r="AI21" s="518" t="s">
        <v>52</v>
      </c>
      <c r="AJ21" s="505">
        <v>2</v>
      </c>
    </row>
    <row r="22" spans="1:36" ht="21" thickBot="1">
      <c r="A22" s="471"/>
      <c r="B22" s="463"/>
      <c r="C22" s="463"/>
      <c r="D22" s="463"/>
      <c r="E22" s="463"/>
      <c r="F22" s="463"/>
      <c r="G22" s="463"/>
      <c r="H22" s="463"/>
      <c r="I22" s="463"/>
      <c r="J22" s="519"/>
      <c r="K22" s="463"/>
      <c r="L22" s="512"/>
      <c r="M22" s="519"/>
      <c r="N22" s="463" t="s">
        <v>192</v>
      </c>
      <c r="O22" s="463"/>
      <c r="P22" s="463"/>
      <c r="Q22" s="493"/>
      <c r="X22" s="468">
        <v>45.5</v>
      </c>
      <c r="AB22" s="497" t="s">
        <v>825</v>
      </c>
      <c r="AI22" s="518" t="s">
        <v>54</v>
      </c>
      <c r="AJ22" s="505">
        <v>2</v>
      </c>
    </row>
    <row r="23" spans="1:36" ht="21" thickBot="1">
      <c r="A23" s="471"/>
      <c r="B23" s="463"/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93"/>
      <c r="X23" s="468"/>
      <c r="AB23" s="497"/>
      <c r="AI23" s="518"/>
      <c r="AJ23" s="505"/>
    </row>
    <row r="24" spans="1:36" ht="21" thickBot="1">
      <c r="A24" s="520"/>
      <c r="B24" s="521"/>
      <c r="C24" s="521" t="s">
        <v>826</v>
      </c>
      <c r="D24" s="521"/>
      <c r="E24" s="521"/>
      <c r="F24" s="521"/>
      <c r="G24" s="521"/>
      <c r="H24" s="521"/>
      <c r="I24" s="521"/>
      <c r="J24" s="521"/>
      <c r="K24" s="521"/>
      <c r="L24" s="522"/>
      <c r="M24" s="523"/>
      <c r="N24" s="521" t="s">
        <v>189</v>
      </c>
      <c r="O24" s="463"/>
      <c r="P24" s="463"/>
      <c r="Q24" s="493"/>
      <c r="X24" s="468"/>
      <c r="AB24" s="497">
        <v>15</v>
      </c>
      <c r="AI24" s="518" t="s">
        <v>55</v>
      </c>
      <c r="AJ24" s="505">
        <v>2</v>
      </c>
    </row>
    <row r="25" spans="1:18" ht="21">
      <c r="A25" s="471">
        <v>3.2</v>
      </c>
      <c r="B25" s="463" t="s">
        <v>827</v>
      </c>
      <c r="C25" s="463"/>
      <c r="D25" s="463"/>
      <c r="E25" s="463"/>
      <c r="F25" s="463"/>
      <c r="G25" s="463"/>
      <c r="H25" s="463"/>
      <c r="I25" s="463"/>
      <c r="J25" s="463"/>
      <c r="K25" s="463"/>
      <c r="L25" s="512"/>
      <c r="M25" s="524"/>
      <c r="N25" s="463"/>
      <c r="O25" s="463"/>
      <c r="P25" s="463"/>
      <c r="Q25" s="493"/>
      <c r="R25" s="525"/>
    </row>
    <row r="26" spans="1:18" ht="21">
      <c r="A26" s="471"/>
      <c r="B26" s="463" t="s">
        <v>828</v>
      </c>
      <c r="C26" s="463" t="s">
        <v>829</v>
      </c>
      <c r="D26" s="463"/>
      <c r="E26" s="463"/>
      <c r="F26" s="463"/>
      <c r="G26" s="463"/>
      <c r="H26" s="463"/>
      <c r="I26" s="463"/>
      <c r="J26" s="463"/>
      <c r="K26" s="463"/>
      <c r="L26" s="512" t="s">
        <v>97</v>
      </c>
      <c r="M26" s="526"/>
      <c r="N26" s="463"/>
      <c r="O26" s="463"/>
      <c r="P26" s="463"/>
      <c r="Q26" s="493"/>
      <c r="R26" s="525"/>
    </row>
    <row r="27" spans="1:18" ht="21">
      <c r="A27" s="471"/>
      <c r="B27" s="463" t="s">
        <v>830</v>
      </c>
      <c r="C27" s="463" t="s">
        <v>831</v>
      </c>
      <c r="D27" s="463"/>
      <c r="E27" s="463"/>
      <c r="F27" s="463"/>
      <c r="G27" s="463"/>
      <c r="H27" s="463"/>
      <c r="I27" s="463"/>
      <c r="J27" s="463"/>
      <c r="K27" s="463"/>
      <c r="L27" s="512" t="s">
        <v>97</v>
      </c>
      <c r="M27" s="527"/>
      <c r="N27" s="463" t="s">
        <v>832</v>
      </c>
      <c r="O27" s="528">
        <f>IF(AND($M$26="WIRE MESH",$M$27=9),"ตรวจสอบขนาดเหล็ก","")</f>
      </c>
      <c r="P27" s="463"/>
      <c r="Q27" s="493"/>
      <c r="R27" s="525"/>
    </row>
    <row r="28" spans="1:18" ht="21">
      <c r="A28" s="471"/>
      <c r="B28" s="463" t="s">
        <v>833</v>
      </c>
      <c r="C28" s="463" t="s">
        <v>834</v>
      </c>
      <c r="D28" s="463"/>
      <c r="E28" s="463"/>
      <c r="F28" s="463"/>
      <c r="G28" s="463"/>
      <c r="H28" s="463"/>
      <c r="I28" s="463"/>
      <c r="J28" s="463"/>
      <c r="K28" s="463"/>
      <c r="L28" s="512" t="s">
        <v>97</v>
      </c>
      <c r="M28" s="527"/>
      <c r="N28" s="463" t="s">
        <v>782</v>
      </c>
      <c r="O28" s="463"/>
      <c r="P28" s="463"/>
      <c r="Q28" s="493"/>
      <c r="R28" s="525"/>
    </row>
    <row r="29" spans="1:18" ht="21">
      <c r="A29" s="471"/>
      <c r="B29" s="463" t="s">
        <v>835</v>
      </c>
      <c r="C29" s="463" t="s">
        <v>836</v>
      </c>
      <c r="D29" s="463"/>
      <c r="E29" s="463"/>
      <c r="F29" s="463"/>
      <c r="G29" s="463"/>
      <c r="H29" s="463"/>
      <c r="I29" s="463"/>
      <c r="J29" s="463"/>
      <c r="K29" s="463"/>
      <c r="L29" s="512" t="s">
        <v>97</v>
      </c>
      <c r="M29" s="527"/>
      <c r="N29" s="463" t="s">
        <v>782</v>
      </c>
      <c r="O29" s="463"/>
      <c r="P29" s="463"/>
      <c r="Q29" s="493"/>
      <c r="R29" s="525"/>
    </row>
    <row r="30" spans="1:18" ht="21">
      <c r="A30" s="471">
        <v>3.3</v>
      </c>
      <c r="B30" s="463" t="s">
        <v>837</v>
      </c>
      <c r="C30" s="463"/>
      <c r="D30" s="463"/>
      <c r="E30" s="463"/>
      <c r="F30" s="463"/>
      <c r="G30" s="463"/>
      <c r="H30" s="463"/>
      <c r="I30" s="463"/>
      <c r="J30" s="463"/>
      <c r="K30" s="463"/>
      <c r="L30" s="512"/>
      <c r="M30" s="524"/>
      <c r="N30" s="463"/>
      <c r="O30" s="463"/>
      <c r="P30" s="463"/>
      <c r="Q30" s="493"/>
      <c r="R30" s="525"/>
    </row>
    <row r="31" spans="1:19" ht="21">
      <c r="A31" s="471"/>
      <c r="B31" s="463" t="s">
        <v>838</v>
      </c>
      <c r="C31" s="463" t="s">
        <v>839</v>
      </c>
      <c r="D31" s="529"/>
      <c r="E31" s="529"/>
      <c r="F31" s="529"/>
      <c r="G31" s="529"/>
      <c r="H31" s="529"/>
      <c r="I31" s="463"/>
      <c r="J31" s="463"/>
      <c r="K31" s="463"/>
      <c r="L31" s="512"/>
      <c r="M31" s="530" t="s">
        <v>820</v>
      </c>
      <c r="N31" s="463"/>
      <c r="O31" s="463"/>
      <c r="P31" s="463"/>
      <c r="Q31" s="493"/>
      <c r="R31" s="511"/>
      <c r="S31" s="511"/>
    </row>
    <row r="32" spans="1:17" ht="21">
      <c r="A32" s="471"/>
      <c r="B32" s="463"/>
      <c r="C32" s="473" t="s">
        <v>840</v>
      </c>
      <c r="D32" s="463" t="s">
        <v>841</v>
      </c>
      <c r="E32" s="529"/>
      <c r="F32" s="529"/>
      <c r="G32" s="529"/>
      <c r="H32" s="529"/>
      <c r="I32" s="463"/>
      <c r="J32" s="463"/>
      <c r="K32" s="463"/>
      <c r="L32" s="512" t="s">
        <v>97</v>
      </c>
      <c r="M32" s="531">
        <v>1</v>
      </c>
      <c r="N32" s="463" t="s">
        <v>842</v>
      </c>
      <c r="O32" s="463"/>
      <c r="P32" s="463"/>
      <c r="Q32" s="493"/>
    </row>
    <row r="33" spans="1:17" ht="21">
      <c r="A33" s="471"/>
      <c r="B33" s="463"/>
      <c r="C33" s="473" t="s">
        <v>840</v>
      </c>
      <c r="D33" s="463" t="s">
        <v>843</v>
      </c>
      <c r="E33" s="529"/>
      <c r="F33" s="529"/>
      <c r="G33" s="529"/>
      <c r="H33" s="529"/>
      <c r="I33" s="463"/>
      <c r="J33" s="463"/>
      <c r="K33" s="463"/>
      <c r="L33" s="512" t="s">
        <v>97</v>
      </c>
      <c r="M33" s="531">
        <v>3.75</v>
      </c>
      <c r="N33" s="463" t="s">
        <v>842</v>
      </c>
      <c r="O33" s="463"/>
      <c r="P33" s="463"/>
      <c r="Q33" s="493"/>
    </row>
    <row r="34" spans="1:17" ht="21">
      <c r="A34" s="471"/>
      <c r="B34" s="463"/>
      <c r="C34" s="473" t="s">
        <v>840</v>
      </c>
      <c r="D34" s="463" t="s">
        <v>844</v>
      </c>
      <c r="E34" s="463"/>
      <c r="F34" s="529"/>
      <c r="G34" s="529"/>
      <c r="H34" s="529"/>
      <c r="I34" s="463"/>
      <c r="J34" s="463"/>
      <c r="K34" s="463"/>
      <c r="L34" s="512" t="s">
        <v>97</v>
      </c>
      <c r="M34" s="531">
        <v>0.5</v>
      </c>
      <c r="N34" s="463" t="s">
        <v>782</v>
      </c>
      <c r="O34" s="463"/>
      <c r="P34" s="463"/>
      <c r="Q34" s="493"/>
    </row>
    <row r="35" spans="1:17" ht="21">
      <c r="A35" s="471"/>
      <c r="B35" s="463"/>
      <c r="C35" s="473" t="s">
        <v>840</v>
      </c>
      <c r="D35" s="463" t="s">
        <v>845</v>
      </c>
      <c r="E35" s="463"/>
      <c r="F35" s="529"/>
      <c r="G35" s="529"/>
      <c r="H35" s="529"/>
      <c r="I35" s="463"/>
      <c r="J35" s="463"/>
      <c r="K35" s="463"/>
      <c r="L35" s="512" t="s">
        <v>97</v>
      </c>
      <c r="M35" s="531">
        <v>16</v>
      </c>
      <c r="N35" s="463" t="s">
        <v>832</v>
      </c>
      <c r="O35" s="463"/>
      <c r="P35" s="463"/>
      <c r="Q35" s="493"/>
    </row>
    <row r="36" spans="1:17" ht="21">
      <c r="A36" s="471"/>
      <c r="B36" s="463"/>
      <c r="C36" s="473" t="s">
        <v>840</v>
      </c>
      <c r="D36" s="463" t="s">
        <v>846</v>
      </c>
      <c r="E36" s="463"/>
      <c r="F36" s="529"/>
      <c r="G36" s="529"/>
      <c r="H36" s="529"/>
      <c r="I36" s="463"/>
      <c r="J36" s="463"/>
      <c r="K36" s="463"/>
      <c r="L36" s="512" t="s">
        <v>97</v>
      </c>
      <c r="M36" s="531">
        <v>0.5</v>
      </c>
      <c r="N36" s="463" t="s">
        <v>782</v>
      </c>
      <c r="O36" s="463"/>
      <c r="P36" s="463"/>
      <c r="Q36" s="493"/>
    </row>
    <row r="37" spans="1:17" ht="21">
      <c r="A37" s="471"/>
      <c r="B37" s="463" t="s">
        <v>847</v>
      </c>
      <c r="C37" s="532" t="s">
        <v>848</v>
      </c>
      <c r="D37" s="463"/>
      <c r="E37" s="463"/>
      <c r="F37" s="529"/>
      <c r="G37" s="529"/>
      <c r="H37" s="529"/>
      <c r="I37" s="463"/>
      <c r="J37" s="463"/>
      <c r="K37" s="463"/>
      <c r="L37" s="512"/>
      <c r="M37" s="533"/>
      <c r="N37" s="463"/>
      <c r="O37" s="463"/>
      <c r="P37" s="463"/>
      <c r="Q37" s="493"/>
    </row>
    <row r="38" spans="1:17" ht="21">
      <c r="A38" s="471"/>
      <c r="B38" s="463"/>
      <c r="C38" s="473" t="s">
        <v>840</v>
      </c>
      <c r="D38" s="463" t="s">
        <v>841</v>
      </c>
      <c r="E38" s="529"/>
      <c r="F38" s="529"/>
      <c r="G38" s="529"/>
      <c r="H38" s="529"/>
      <c r="I38" s="463"/>
      <c r="J38" s="463"/>
      <c r="K38" s="463"/>
      <c r="L38" s="512" t="s">
        <v>97</v>
      </c>
      <c r="M38" s="531"/>
      <c r="N38" s="463" t="s">
        <v>842</v>
      </c>
      <c r="O38" s="463"/>
      <c r="P38" s="463"/>
      <c r="Q38" s="493"/>
    </row>
    <row r="39" spans="1:17" ht="21">
      <c r="A39" s="471"/>
      <c r="B39" s="463"/>
      <c r="C39" s="473" t="s">
        <v>840</v>
      </c>
      <c r="D39" s="463" t="s">
        <v>843</v>
      </c>
      <c r="E39" s="529"/>
      <c r="F39" s="529"/>
      <c r="G39" s="529"/>
      <c r="H39" s="529"/>
      <c r="I39" s="463"/>
      <c r="J39" s="463"/>
      <c r="K39" s="463"/>
      <c r="L39" s="512" t="s">
        <v>97</v>
      </c>
      <c r="M39" s="531"/>
      <c r="N39" s="463" t="s">
        <v>842</v>
      </c>
      <c r="O39" s="463"/>
      <c r="P39" s="463"/>
      <c r="Q39" s="493"/>
    </row>
    <row r="40" spans="1:17" ht="21">
      <c r="A40" s="471"/>
      <c r="B40" s="463"/>
      <c r="C40" s="473" t="s">
        <v>840</v>
      </c>
      <c r="D40" s="463" t="s">
        <v>849</v>
      </c>
      <c r="E40" s="463"/>
      <c r="F40" s="529"/>
      <c r="G40" s="529"/>
      <c r="H40" s="529"/>
      <c r="I40" s="463"/>
      <c r="J40" s="463"/>
      <c r="K40" s="463"/>
      <c r="L40" s="512" t="s">
        <v>97</v>
      </c>
      <c r="M40" s="531"/>
      <c r="N40" s="463" t="s">
        <v>782</v>
      </c>
      <c r="O40" s="463"/>
      <c r="P40" s="463"/>
      <c r="Q40" s="493"/>
    </row>
    <row r="41" spans="1:17" ht="21">
      <c r="A41" s="471"/>
      <c r="B41" s="463"/>
      <c r="C41" s="473" t="s">
        <v>840</v>
      </c>
      <c r="D41" s="463" t="s">
        <v>850</v>
      </c>
      <c r="E41" s="463"/>
      <c r="F41" s="529"/>
      <c r="G41" s="529"/>
      <c r="H41" s="529"/>
      <c r="I41" s="463"/>
      <c r="J41" s="463"/>
      <c r="K41" s="463"/>
      <c r="L41" s="512" t="s">
        <v>97</v>
      </c>
      <c r="M41" s="531"/>
      <c r="N41" s="463" t="s">
        <v>782</v>
      </c>
      <c r="O41" s="463"/>
      <c r="P41" s="463"/>
      <c r="Q41" s="493"/>
    </row>
    <row r="42" spans="1:17" ht="21">
      <c r="A42" s="471"/>
      <c r="B42" s="463"/>
      <c r="C42" s="473" t="s">
        <v>840</v>
      </c>
      <c r="D42" s="463" t="s">
        <v>851</v>
      </c>
      <c r="E42" s="463"/>
      <c r="F42" s="529"/>
      <c r="G42" s="529"/>
      <c r="H42" s="529"/>
      <c r="I42" s="463"/>
      <c r="J42" s="463"/>
      <c r="K42" s="463"/>
      <c r="L42" s="512" t="s">
        <v>97</v>
      </c>
      <c r="M42" s="531"/>
      <c r="N42" s="463" t="s">
        <v>832</v>
      </c>
      <c r="O42" s="463"/>
      <c r="P42" s="463"/>
      <c r="Q42" s="493"/>
    </row>
    <row r="43" spans="1:17" ht="21">
      <c r="A43" s="471"/>
      <c r="B43" s="463"/>
      <c r="C43" s="473" t="s">
        <v>840</v>
      </c>
      <c r="D43" s="463" t="s">
        <v>852</v>
      </c>
      <c r="E43" s="463"/>
      <c r="F43" s="529"/>
      <c r="G43" s="529"/>
      <c r="H43" s="529"/>
      <c r="I43" s="463"/>
      <c r="J43" s="463"/>
      <c r="K43" s="463"/>
      <c r="L43" s="512" t="s">
        <v>97</v>
      </c>
      <c r="M43" s="531"/>
      <c r="N43" s="463" t="s">
        <v>782</v>
      </c>
      <c r="O43" s="463"/>
      <c r="P43" s="463"/>
      <c r="Q43" s="493"/>
    </row>
    <row r="44" spans="1:17" ht="21">
      <c r="A44" s="471"/>
      <c r="B44" s="463" t="s">
        <v>853</v>
      </c>
      <c r="C44" s="463" t="s">
        <v>854</v>
      </c>
      <c r="D44" s="529"/>
      <c r="E44" s="529"/>
      <c r="F44" s="529"/>
      <c r="G44" s="529"/>
      <c r="H44" s="529"/>
      <c r="I44" s="463"/>
      <c r="J44" s="463"/>
      <c r="K44" s="463"/>
      <c r="L44" s="512"/>
      <c r="M44" s="534"/>
      <c r="N44" s="463"/>
      <c r="O44" s="463"/>
      <c r="P44" s="463"/>
      <c r="Q44" s="493"/>
    </row>
    <row r="45" spans="1:17" ht="21">
      <c r="A45" s="471"/>
      <c r="B45" s="463"/>
      <c r="C45" s="473" t="s">
        <v>840</v>
      </c>
      <c r="D45" s="463" t="s">
        <v>841</v>
      </c>
      <c r="E45" s="529"/>
      <c r="F45" s="529"/>
      <c r="G45" s="529"/>
      <c r="H45" s="529"/>
      <c r="I45" s="463"/>
      <c r="J45" s="463"/>
      <c r="K45" s="463"/>
      <c r="L45" s="512" t="s">
        <v>97</v>
      </c>
      <c r="M45" s="531"/>
      <c r="N45" s="463" t="s">
        <v>842</v>
      </c>
      <c r="O45" s="463"/>
      <c r="P45" s="463"/>
      <c r="Q45" s="493"/>
    </row>
    <row r="46" spans="1:17" ht="21">
      <c r="A46" s="471"/>
      <c r="B46" s="463"/>
      <c r="C46" s="473" t="s">
        <v>840</v>
      </c>
      <c r="D46" s="463" t="s">
        <v>843</v>
      </c>
      <c r="E46" s="529"/>
      <c r="F46" s="529"/>
      <c r="G46" s="529"/>
      <c r="H46" s="529"/>
      <c r="I46" s="463"/>
      <c r="J46" s="463"/>
      <c r="K46" s="463"/>
      <c r="L46" s="512" t="s">
        <v>97</v>
      </c>
      <c r="M46" s="531"/>
      <c r="N46" s="463" t="s">
        <v>842</v>
      </c>
      <c r="O46" s="463"/>
      <c r="P46" s="463"/>
      <c r="Q46" s="493"/>
    </row>
    <row r="47" spans="1:17" ht="21">
      <c r="A47" s="471"/>
      <c r="B47" s="463"/>
      <c r="C47" s="473" t="s">
        <v>840</v>
      </c>
      <c r="D47" s="463" t="s">
        <v>855</v>
      </c>
      <c r="E47" s="463"/>
      <c r="F47" s="529"/>
      <c r="G47" s="529"/>
      <c r="H47" s="529"/>
      <c r="I47" s="463"/>
      <c r="J47" s="463"/>
      <c r="K47" s="463"/>
      <c r="L47" s="512" t="s">
        <v>97</v>
      </c>
      <c r="M47" s="531"/>
      <c r="N47" s="463" t="s">
        <v>782</v>
      </c>
      <c r="O47" s="463"/>
      <c r="P47" s="463"/>
      <c r="Q47" s="493"/>
    </row>
    <row r="48" spans="1:17" ht="21">
      <c r="A48" s="471"/>
      <c r="B48" s="463"/>
      <c r="C48" s="473" t="s">
        <v>840</v>
      </c>
      <c r="D48" s="463" t="s">
        <v>850</v>
      </c>
      <c r="E48" s="463"/>
      <c r="F48" s="529"/>
      <c r="G48" s="529"/>
      <c r="H48" s="529"/>
      <c r="I48" s="463"/>
      <c r="J48" s="463"/>
      <c r="K48" s="463"/>
      <c r="L48" s="512" t="s">
        <v>97</v>
      </c>
      <c r="M48" s="531"/>
      <c r="N48" s="463" t="s">
        <v>782</v>
      </c>
      <c r="O48" s="463"/>
      <c r="P48" s="463"/>
      <c r="Q48" s="493"/>
    </row>
    <row r="49" spans="1:17" ht="21">
      <c r="A49" s="471"/>
      <c r="B49" s="463"/>
      <c r="C49" s="473" t="s">
        <v>840</v>
      </c>
      <c r="D49" s="463" t="s">
        <v>851</v>
      </c>
      <c r="E49" s="463"/>
      <c r="F49" s="529"/>
      <c r="G49" s="529"/>
      <c r="H49" s="529"/>
      <c r="I49" s="463"/>
      <c r="J49" s="463"/>
      <c r="K49" s="463"/>
      <c r="L49" s="512" t="s">
        <v>97</v>
      </c>
      <c r="M49" s="531"/>
      <c r="N49" s="463" t="s">
        <v>832</v>
      </c>
      <c r="O49" s="463"/>
      <c r="P49" s="463"/>
      <c r="Q49" s="493"/>
    </row>
    <row r="50" spans="1:17" ht="21">
      <c r="A50" s="471"/>
      <c r="B50" s="463"/>
      <c r="C50" s="473" t="s">
        <v>840</v>
      </c>
      <c r="D50" s="463" t="s">
        <v>852</v>
      </c>
      <c r="E50" s="463"/>
      <c r="F50" s="529"/>
      <c r="G50" s="529"/>
      <c r="H50" s="529"/>
      <c r="I50" s="463"/>
      <c r="J50" s="463"/>
      <c r="K50" s="463"/>
      <c r="L50" s="512" t="s">
        <v>97</v>
      </c>
      <c r="M50" s="531"/>
      <c r="N50" s="463" t="s">
        <v>782</v>
      </c>
      <c r="O50" s="463"/>
      <c r="P50" s="463"/>
      <c r="Q50" s="493"/>
    </row>
    <row r="51" spans="1:17" ht="21">
      <c r="A51" s="471"/>
      <c r="B51" s="463"/>
      <c r="C51" s="473"/>
      <c r="D51" s="463"/>
      <c r="E51" s="463"/>
      <c r="F51" s="463"/>
      <c r="G51" s="463"/>
      <c r="H51" s="463"/>
      <c r="I51" s="463"/>
      <c r="J51" s="455"/>
      <c r="K51" s="463"/>
      <c r="L51" s="512"/>
      <c r="M51" s="535"/>
      <c r="N51" s="463"/>
      <c r="O51" s="463"/>
      <c r="P51" s="463"/>
      <c r="Q51" s="493"/>
    </row>
    <row r="52" spans="1:17" ht="21">
      <c r="A52" s="489" t="s">
        <v>856</v>
      </c>
      <c r="B52" s="455"/>
      <c r="C52" s="455"/>
      <c r="D52" s="455"/>
      <c r="E52" s="455"/>
      <c r="F52" s="455"/>
      <c r="G52" s="455"/>
      <c r="H52" s="455"/>
      <c r="I52" s="455"/>
      <c r="J52" s="463"/>
      <c r="K52" s="455"/>
      <c r="L52" s="536"/>
      <c r="M52" s="455"/>
      <c r="N52" s="455"/>
      <c r="O52" s="455"/>
      <c r="P52" s="455"/>
      <c r="Q52" s="490"/>
    </row>
    <row r="53" spans="1:17" ht="21">
      <c r="A53" s="492"/>
      <c r="B53" s="463"/>
      <c r="C53" s="463"/>
      <c r="D53" s="463"/>
      <c r="E53" s="463"/>
      <c r="F53" s="463"/>
      <c r="G53" s="463"/>
      <c r="H53" s="463"/>
      <c r="I53" s="463"/>
      <c r="J53" s="463"/>
      <c r="K53" s="463"/>
      <c r="L53" s="512"/>
      <c r="M53" s="463"/>
      <c r="N53" s="463"/>
      <c r="O53" s="463"/>
      <c r="P53" s="463"/>
      <c r="Q53" s="493"/>
    </row>
    <row r="54" spans="1:17" ht="21">
      <c r="A54" s="471"/>
      <c r="B54" s="537"/>
      <c r="C54" s="463"/>
      <c r="D54" s="463"/>
      <c r="E54" s="463"/>
      <c r="F54" s="463"/>
      <c r="G54" s="463"/>
      <c r="H54" s="463"/>
      <c r="I54" s="463"/>
      <c r="J54" s="463"/>
      <c r="K54" s="538" t="s">
        <v>857</v>
      </c>
      <c r="L54" s="512" t="s">
        <v>97</v>
      </c>
      <c r="M54" s="539" t="s">
        <v>756</v>
      </c>
      <c r="N54" s="540"/>
      <c r="O54" s="463"/>
      <c r="P54" s="463"/>
      <c r="Q54" s="493"/>
    </row>
    <row r="55" spans="1:17" ht="21">
      <c r="A55" s="541"/>
      <c r="B55" s="537"/>
      <c r="C55" s="542"/>
      <c r="D55" s="542"/>
      <c r="E55" s="463"/>
      <c r="F55" s="463"/>
      <c r="G55" s="463"/>
      <c r="H55" s="463"/>
      <c r="I55" s="463"/>
      <c r="J55" s="463"/>
      <c r="K55" s="538" t="s">
        <v>858</v>
      </c>
      <c r="L55" s="512" t="s">
        <v>97</v>
      </c>
      <c r="M55" s="581">
        <v>42948</v>
      </c>
      <c r="N55" s="582"/>
      <c r="O55" s="463"/>
      <c r="P55" s="463"/>
      <c r="Q55" s="493"/>
    </row>
    <row r="56" spans="1:17" ht="21">
      <c r="A56" s="471"/>
      <c r="B56" s="537"/>
      <c r="C56" s="463"/>
      <c r="D56" s="463"/>
      <c r="E56" s="463"/>
      <c r="F56" s="463"/>
      <c r="G56" s="463"/>
      <c r="H56" s="463"/>
      <c r="I56" s="463"/>
      <c r="J56" s="463"/>
      <c r="K56" s="538" t="s">
        <v>859</v>
      </c>
      <c r="L56" s="512" t="s">
        <v>97</v>
      </c>
      <c r="M56" s="581">
        <f>M55</f>
        <v>42948</v>
      </c>
      <c r="N56" s="582"/>
      <c r="O56" s="463"/>
      <c r="P56" s="463"/>
      <c r="Q56" s="493"/>
    </row>
    <row r="57" spans="1:17" ht="21">
      <c r="A57" s="471"/>
      <c r="B57" s="542"/>
      <c r="C57" s="463"/>
      <c r="D57" s="463"/>
      <c r="E57" s="463"/>
      <c r="F57" s="463"/>
      <c r="G57" s="463"/>
      <c r="H57" s="463"/>
      <c r="I57" s="463"/>
      <c r="J57" s="455"/>
      <c r="K57" s="463"/>
      <c r="L57" s="512"/>
      <c r="M57" s="543"/>
      <c r="N57" s="543"/>
      <c r="O57" s="463"/>
      <c r="P57" s="463"/>
      <c r="Q57" s="493"/>
    </row>
    <row r="58" spans="1:17" ht="21">
      <c r="A58" s="489" t="s">
        <v>860</v>
      </c>
      <c r="B58" s="544"/>
      <c r="C58" s="455"/>
      <c r="D58" s="455"/>
      <c r="E58" s="455"/>
      <c r="F58" s="455"/>
      <c r="G58" s="455"/>
      <c r="H58" s="455"/>
      <c r="I58" s="455"/>
      <c r="J58" s="463"/>
      <c r="K58" s="455"/>
      <c r="L58" s="536"/>
      <c r="M58" s="545"/>
      <c r="N58" s="545"/>
      <c r="O58" s="455"/>
      <c r="P58" s="455"/>
      <c r="Q58" s="490"/>
    </row>
    <row r="59" spans="1:17" ht="21">
      <c r="A59" s="492"/>
      <c r="B59" s="542"/>
      <c r="C59" s="463"/>
      <c r="D59" s="463"/>
      <c r="E59" s="463"/>
      <c r="F59" s="463"/>
      <c r="G59" s="463"/>
      <c r="H59" s="463"/>
      <c r="I59" s="463"/>
      <c r="J59" s="463"/>
      <c r="K59" s="463"/>
      <c r="L59" s="512"/>
      <c r="M59" s="546"/>
      <c r="N59" s="546"/>
      <c r="O59" s="463"/>
      <c r="P59" s="463"/>
      <c r="Q59" s="493"/>
    </row>
    <row r="60" spans="1:17" ht="21">
      <c r="A60" s="471"/>
      <c r="B60" s="542" t="s">
        <v>861</v>
      </c>
      <c r="C60" s="463"/>
      <c r="D60" s="463"/>
      <c r="E60" s="463"/>
      <c r="F60" s="463"/>
      <c r="G60" s="463"/>
      <c r="H60" s="463"/>
      <c r="I60" s="463"/>
      <c r="J60" s="463"/>
      <c r="K60" s="463"/>
      <c r="L60" s="512" t="s">
        <v>97</v>
      </c>
      <c r="M60" s="547">
        <v>0</v>
      </c>
      <c r="N60" s="546" t="s">
        <v>2</v>
      </c>
      <c r="O60" s="463"/>
      <c r="P60" s="463"/>
      <c r="Q60" s="493"/>
    </row>
    <row r="61" spans="1:17" ht="21">
      <c r="A61" s="471"/>
      <c r="B61" s="542" t="s">
        <v>862</v>
      </c>
      <c r="C61" s="463"/>
      <c r="D61" s="463"/>
      <c r="E61" s="463"/>
      <c r="F61" s="463"/>
      <c r="G61" s="463"/>
      <c r="H61" s="463"/>
      <c r="I61" s="463"/>
      <c r="J61" s="463"/>
      <c r="K61" s="463"/>
      <c r="L61" s="512" t="s">
        <v>97</v>
      </c>
      <c r="M61" s="547">
        <v>0</v>
      </c>
      <c r="N61" s="546" t="s">
        <v>2</v>
      </c>
      <c r="O61" s="463"/>
      <c r="P61" s="463"/>
      <c r="Q61" s="493"/>
    </row>
    <row r="62" spans="1:17" ht="21">
      <c r="A62" s="471"/>
      <c r="B62" s="542" t="s">
        <v>795</v>
      </c>
      <c r="C62" s="463"/>
      <c r="D62" s="463"/>
      <c r="E62" s="463"/>
      <c r="F62" s="463"/>
      <c r="G62" s="463"/>
      <c r="H62" s="463"/>
      <c r="I62" s="463"/>
      <c r="J62" s="463"/>
      <c r="K62" s="463"/>
      <c r="L62" s="512" t="s">
        <v>97</v>
      </c>
      <c r="M62" s="547">
        <v>7</v>
      </c>
      <c r="N62" s="546" t="s">
        <v>2</v>
      </c>
      <c r="O62" s="463"/>
      <c r="P62" s="463"/>
      <c r="Q62" s="493"/>
    </row>
    <row r="63" spans="1:17" ht="21">
      <c r="A63" s="471"/>
      <c r="B63" s="542" t="s">
        <v>863</v>
      </c>
      <c r="C63" s="463"/>
      <c r="D63" s="463"/>
      <c r="E63" s="463"/>
      <c r="F63" s="463"/>
      <c r="G63" s="463"/>
      <c r="H63" s="463"/>
      <c r="I63" s="463"/>
      <c r="J63" s="548"/>
      <c r="K63" s="463"/>
      <c r="L63" s="512" t="s">
        <v>97</v>
      </c>
      <c r="M63" s="547">
        <v>7</v>
      </c>
      <c r="N63" s="546" t="s">
        <v>2</v>
      </c>
      <c r="O63" s="463"/>
      <c r="P63" s="463"/>
      <c r="Q63" s="493"/>
    </row>
    <row r="64" spans="1:17" ht="21">
      <c r="A64" s="549"/>
      <c r="B64" s="548"/>
      <c r="C64" s="548"/>
      <c r="D64" s="548"/>
      <c r="E64" s="548"/>
      <c r="F64" s="548"/>
      <c r="G64" s="548"/>
      <c r="H64" s="548"/>
      <c r="I64" s="548"/>
      <c r="J64" s="525"/>
      <c r="K64" s="548"/>
      <c r="L64" s="548"/>
      <c r="M64" s="548"/>
      <c r="N64" s="548"/>
      <c r="O64" s="548"/>
      <c r="P64" s="548"/>
      <c r="Q64" s="550"/>
    </row>
    <row r="65" spans="1:17" ht="21.75">
      <c r="A65" s="525"/>
      <c r="B65" s="525"/>
      <c r="C65" s="525"/>
      <c r="D65" s="525"/>
      <c r="E65" s="525"/>
      <c r="F65" s="525"/>
      <c r="G65" s="525"/>
      <c r="H65" s="525"/>
      <c r="I65" s="525"/>
      <c r="J65" s="551"/>
      <c r="K65" s="525"/>
      <c r="L65" s="525"/>
      <c r="M65" s="525"/>
      <c r="N65" s="525"/>
      <c r="O65" s="525"/>
      <c r="P65" s="525"/>
      <c r="Q65" s="525"/>
    </row>
    <row r="66" spans="1:18" ht="21.75">
      <c r="A66" s="583" t="s">
        <v>864</v>
      </c>
      <c r="B66" s="583"/>
      <c r="C66" s="583"/>
      <c r="D66" s="583"/>
      <c r="E66" s="583"/>
      <c r="F66" s="583"/>
      <c r="G66" s="583"/>
      <c r="H66" s="583"/>
      <c r="I66" s="583"/>
      <c r="J66" s="583"/>
      <c r="K66" s="583"/>
      <c r="L66" s="583"/>
      <c r="M66" s="583"/>
      <c r="N66" s="583"/>
      <c r="O66" s="583"/>
      <c r="P66" s="583"/>
      <c r="Q66" s="583"/>
      <c r="R66" s="583"/>
    </row>
    <row r="67" spans="1:18" ht="24">
      <c r="A67" s="583" t="s">
        <v>757</v>
      </c>
      <c r="B67" s="583"/>
      <c r="C67" s="583"/>
      <c r="D67" s="583"/>
      <c r="E67" s="583"/>
      <c r="F67" s="583"/>
      <c r="G67" s="583"/>
      <c r="H67" s="583"/>
      <c r="I67" s="583"/>
      <c r="J67" s="583"/>
      <c r="K67" s="583"/>
      <c r="L67" s="583"/>
      <c r="M67" s="583"/>
      <c r="N67" s="583"/>
      <c r="O67" s="583"/>
      <c r="P67" s="583"/>
      <c r="Q67" s="583"/>
      <c r="R67" s="583"/>
    </row>
    <row r="68" spans="1:18" ht="24">
      <c r="A68" s="583" t="s">
        <v>753</v>
      </c>
      <c r="B68" s="583"/>
      <c r="C68" s="583"/>
      <c r="D68" s="583"/>
      <c r="E68" s="583"/>
      <c r="F68" s="583"/>
      <c r="G68" s="583"/>
      <c r="H68" s="583"/>
      <c r="I68" s="583"/>
      <c r="J68" s="583"/>
      <c r="K68" s="583"/>
      <c r="L68" s="583"/>
      <c r="M68" s="583"/>
      <c r="N68" s="583"/>
      <c r="O68" s="583"/>
      <c r="P68" s="583"/>
      <c r="Q68" s="583"/>
      <c r="R68" s="583"/>
    </row>
    <row r="69" spans="1:18" ht="24">
      <c r="A69" s="583" t="s">
        <v>874</v>
      </c>
      <c r="B69" s="583"/>
      <c r="C69" s="583"/>
      <c r="D69" s="583"/>
      <c r="E69" s="583"/>
      <c r="F69" s="583"/>
      <c r="G69" s="583"/>
      <c r="H69" s="583"/>
      <c r="I69" s="583"/>
      <c r="J69" s="583"/>
      <c r="K69" s="583"/>
      <c r="L69" s="583"/>
      <c r="M69" s="583"/>
      <c r="N69" s="583"/>
      <c r="O69" s="583"/>
      <c r="P69" s="583"/>
      <c r="Q69" s="583"/>
      <c r="R69" s="583"/>
    </row>
    <row r="70" spans="1:18" ht="24">
      <c r="A70" s="583" t="s">
        <v>865</v>
      </c>
      <c r="B70" s="583"/>
      <c r="C70" s="583"/>
      <c r="D70" s="583"/>
      <c r="E70" s="583"/>
      <c r="F70" s="583"/>
      <c r="G70" s="583"/>
      <c r="H70" s="583"/>
      <c r="I70" s="583"/>
      <c r="J70" s="583"/>
      <c r="K70" s="583"/>
      <c r="L70" s="583"/>
      <c r="M70" s="583"/>
      <c r="N70" s="583"/>
      <c r="O70" s="583"/>
      <c r="P70" s="583"/>
      <c r="Q70" s="583"/>
      <c r="R70" s="583"/>
    </row>
    <row r="71" spans="1:18" ht="24">
      <c r="A71" s="583" t="s">
        <v>754</v>
      </c>
      <c r="B71" s="583"/>
      <c r="C71" s="583"/>
      <c r="D71" s="583"/>
      <c r="E71" s="583"/>
      <c r="F71" s="583"/>
      <c r="G71" s="583"/>
      <c r="H71" s="583"/>
      <c r="I71" s="583"/>
      <c r="J71" s="583"/>
      <c r="K71" s="583"/>
      <c r="L71" s="583"/>
      <c r="M71" s="583"/>
      <c r="N71" s="583"/>
      <c r="O71" s="583"/>
      <c r="P71" s="583"/>
      <c r="Q71" s="583"/>
      <c r="R71" s="583"/>
    </row>
    <row r="72" spans="1:18" ht="21.75">
      <c r="A72" s="583" t="s">
        <v>866</v>
      </c>
      <c r="B72" s="583"/>
      <c r="C72" s="583"/>
      <c r="D72" s="583"/>
      <c r="E72" s="583"/>
      <c r="F72" s="583"/>
      <c r="G72" s="583"/>
      <c r="H72" s="583"/>
      <c r="I72" s="583"/>
      <c r="J72" s="583"/>
      <c r="K72" s="583"/>
      <c r="L72" s="583"/>
      <c r="M72" s="583"/>
      <c r="N72" s="583"/>
      <c r="O72" s="583"/>
      <c r="P72" s="583"/>
      <c r="Q72" s="583"/>
      <c r="R72" s="583"/>
    </row>
    <row r="73" spans="1:18" ht="21.75">
      <c r="A73" s="583" t="s">
        <v>755</v>
      </c>
      <c r="B73" s="583"/>
      <c r="C73" s="583"/>
      <c r="D73" s="583"/>
      <c r="E73" s="583"/>
      <c r="F73" s="583"/>
      <c r="G73" s="583"/>
      <c r="H73" s="583"/>
      <c r="I73" s="583"/>
      <c r="J73" s="583"/>
      <c r="K73" s="583"/>
      <c r="L73" s="583"/>
      <c r="M73" s="583"/>
      <c r="N73" s="583"/>
      <c r="O73" s="583"/>
      <c r="P73" s="583"/>
      <c r="Q73" s="583"/>
      <c r="R73" s="583"/>
    </row>
    <row r="74" spans="1:18" ht="21.75">
      <c r="A74" s="583" t="s">
        <v>867</v>
      </c>
      <c r="B74" s="583"/>
      <c r="C74" s="583"/>
      <c r="D74" s="583"/>
      <c r="E74" s="583"/>
      <c r="F74" s="583"/>
      <c r="G74" s="583"/>
      <c r="H74" s="583"/>
      <c r="I74" s="583"/>
      <c r="J74" s="583"/>
      <c r="K74" s="583"/>
      <c r="L74" s="583"/>
      <c r="M74" s="583"/>
      <c r="N74" s="583"/>
      <c r="O74" s="583"/>
      <c r="P74" s="583"/>
      <c r="Q74" s="583"/>
      <c r="R74" s="583"/>
    </row>
    <row r="75" spans="1:18" ht="21.75">
      <c r="A75" s="583" t="s">
        <v>868</v>
      </c>
      <c r="B75" s="583"/>
      <c r="C75" s="583"/>
      <c r="D75" s="583"/>
      <c r="E75" s="583"/>
      <c r="F75" s="583"/>
      <c r="G75" s="583"/>
      <c r="H75" s="583"/>
      <c r="I75" s="583"/>
      <c r="J75" s="583"/>
      <c r="K75" s="583"/>
      <c r="L75" s="583"/>
      <c r="M75" s="583"/>
      <c r="N75" s="583"/>
      <c r="O75" s="583"/>
      <c r="P75" s="583"/>
      <c r="Q75" s="583"/>
      <c r="R75" s="583"/>
    </row>
    <row r="76" spans="1:18" ht="21.75">
      <c r="A76" s="583" t="s">
        <v>869</v>
      </c>
      <c r="B76" s="583"/>
      <c r="C76" s="583"/>
      <c r="D76" s="583"/>
      <c r="E76" s="583"/>
      <c r="F76" s="583"/>
      <c r="G76" s="583"/>
      <c r="H76" s="583"/>
      <c r="I76" s="583"/>
      <c r="J76" s="583"/>
      <c r="K76" s="583"/>
      <c r="L76" s="583"/>
      <c r="M76" s="583"/>
      <c r="N76" s="583"/>
      <c r="O76" s="583"/>
      <c r="P76" s="583"/>
      <c r="Q76" s="583"/>
      <c r="R76" s="583"/>
    </row>
    <row r="77" spans="1:18" ht="21.75">
      <c r="A77" s="583" t="s">
        <v>870</v>
      </c>
      <c r="B77" s="583"/>
      <c r="C77" s="583"/>
      <c r="D77" s="583"/>
      <c r="E77" s="583"/>
      <c r="F77" s="583"/>
      <c r="G77" s="583"/>
      <c r="H77" s="583"/>
      <c r="I77" s="583"/>
      <c r="J77" s="583"/>
      <c r="K77" s="583"/>
      <c r="L77" s="583"/>
      <c r="M77" s="583"/>
      <c r="N77" s="583"/>
      <c r="O77" s="583"/>
      <c r="P77" s="583"/>
      <c r="Q77" s="583"/>
      <c r="R77" s="583"/>
    </row>
  </sheetData>
  <sheetProtection/>
  <mergeCells count="32">
    <mergeCell ref="A77:R77"/>
    <mergeCell ref="A71:R71"/>
    <mergeCell ref="A72:R72"/>
    <mergeCell ref="A73:R73"/>
    <mergeCell ref="A74:R74"/>
    <mergeCell ref="A75:R75"/>
    <mergeCell ref="A76:R76"/>
    <mergeCell ref="M56:N56"/>
    <mergeCell ref="A66:R66"/>
    <mergeCell ref="A67:R67"/>
    <mergeCell ref="A68:R68"/>
    <mergeCell ref="A69:R69"/>
    <mergeCell ref="A70:R70"/>
    <mergeCell ref="I11:P11"/>
    <mergeCell ref="AI11:AJ11"/>
    <mergeCell ref="I12:P12"/>
    <mergeCell ref="I13:P13"/>
    <mergeCell ref="I14:P14"/>
    <mergeCell ref="M55:N55"/>
    <mergeCell ref="I6:J6"/>
    <mergeCell ref="AI6:AJ6"/>
    <mergeCell ref="AI7:AJ7"/>
    <mergeCell ref="AI8:AJ8"/>
    <mergeCell ref="AI9:AJ9"/>
    <mergeCell ref="I10:P10"/>
    <mergeCell ref="AI10:AJ10"/>
    <mergeCell ref="A2:Q2"/>
    <mergeCell ref="S3:T3"/>
    <mergeCell ref="AD3:AG3"/>
    <mergeCell ref="AI4:AJ4"/>
    <mergeCell ref="I5:J5"/>
    <mergeCell ref="AI5:AJ5"/>
  </mergeCells>
  <conditionalFormatting sqref="AQ64">
    <cfRule type="expression" priority="1" dxfId="0">
      <formula>$AQ$63&gt;1</formula>
    </cfRule>
  </conditionalFormatting>
  <dataValidations count="16">
    <dataValidation type="list" operator="greaterThanOrEqual" allowBlank="1" showInputMessage="1" showErrorMessage="1" promptTitle="ราคาน้ำมันโซล่า" prompt="สถานีบริการ ปตท. ณ อำเภอเมือง (บาท/ลิตร)" errorTitle="ราคาน้ำมันโซล่า" error="พิมพ์ราคาน้ำมัน ลิตร/บาท" sqref="I5:J5">
      <formula1>$X$4:$X$22</formula1>
    </dataValidation>
    <dataValidation type="list" allowBlank="1" showInputMessage="1" showErrorMessage="1" sqref="O6">
      <formula1>"ลูกรัง 10 ซม.,หินคลุก 10 ซม.,AC 5 ซม.(ขนทิ้ง)"</formula1>
    </dataValidation>
    <dataValidation type="list" allowBlank="1" showInputMessage="1" showErrorMessage="1" sqref="O5">
      <formula1>"ขนาดเบา,ขนาดกลาง,ขนาดหนัก"</formula1>
    </dataValidation>
    <dataValidation type="list" allowBlank="1" showInputMessage="1" showErrorMessage="1" sqref="M28:M29">
      <formula1>"0.10,0.15,0.20,0.25,0.30"</formula1>
    </dataValidation>
    <dataValidation allowBlank="1" showErrorMessage="1" promptTitle="Joint  กลาง" prompt="ดูตามแบบว่า  มี หรือ ไม่มี " sqref="M32:M33 M38:M39 M45:M46"/>
    <dataValidation type="list" allowBlank="1" showInputMessage="1" showErrorMessage="1" promptTitle="Joint  กลาง" prompt="ดูตามแบบว่า  มี หรือ ไม่มี " sqref="M31">
      <formula1>$AF$12:$AF$13</formula1>
    </dataValidation>
    <dataValidation errorStyle="warning" type="list" allowBlank="1" showErrorMessage="1" prompt="&#10;" errorTitle="แนะนำ" error="กรอกข้อมูลเฉพาะที่กำหนดให้เท่านั้น  หากกำหนดผิดจะส่งผลให้การคำนวณผิดพลาด" sqref="M49">
      <formula1>$AB$24:$AB$24</formula1>
    </dataValidation>
    <dataValidation errorStyle="warning" type="list" allowBlank="1" showErrorMessage="1" promptTitle="กำหนดขนาดเหล็ก" prompt="ใช้เหล็กเส้นกลม ขนาด 15 และ 19 มม.&#10;" errorTitle="แนะนำ" error="กรอกข้อมูลเฉพาะที่กำหนดให้เท่านั้น  หากกำหนดผิดจะส่งผลให้การคำนวณผิดพลาด" sqref="M42">
      <formula1>$AB$19:$AB$20</formula1>
    </dataValidation>
    <dataValidation errorStyle="warning" type="list" allowBlank="1" showErrorMessage="1" promptTitle="กำหนดขนาดเหล็ก" prompt="ใช้เหล็กข้ออ้อย ขนาด 16 และ 20 มม." errorTitle="แนะนำ" error="กรอกข้อมูลเฉพาะที่กำหนดให้เท่านั้น  หากกำหนดผิดจะส่งผลให้การคำนวณผิดพลาด" sqref="M35">
      <formula1>ข้อมูลโครงการ!#REF!</formula1>
    </dataValidation>
    <dataValidation type="list" allowBlank="1" showInputMessage="1" showErrorMessage="1" promptTitle="ขนาดเหล็ก" prompt="กำหนดขนาดตามแบบ" sqref="M27">
      <formula1>ข้อมูลโครงการ!#REF!</formula1>
    </dataValidation>
    <dataValidation type="list" allowBlank="1" showInputMessage="1" showErrorMessage="1" promptTitle="ชนิดเหล็ก" prompt="ดูชนิดเหล็กเสริมตามแบบ" sqref="M26">
      <formula1>$AB$12:$AB$13</formula1>
    </dataValidation>
    <dataValidation type="list" allowBlank="1" showInputMessage="1" showErrorMessage="1" sqref="M61">
      <formula1>"0,5,10"</formula1>
    </dataValidation>
    <dataValidation type="list" allowBlank="1" showInputMessage="1" showErrorMessage="1" sqref="M60">
      <formula1>"0,5,10,15"</formula1>
    </dataValidation>
    <dataValidation type="list" allowBlank="1" showInputMessage="1" showErrorMessage="1" sqref="M62">
      <formula1>$AL$4:$AL$8</formula1>
    </dataValidation>
    <dataValidation type="list" allowBlank="1" showInputMessage="1" showErrorMessage="1" sqref="M63">
      <formula1>$AN$4:$AN$5</formula1>
    </dataValidation>
    <dataValidation type="list" allowBlank="1" showInputMessage="1" showErrorMessage="1" promptTitle="พื้นที่ฝนชุก" prompt="เลือกจังหวัดที่ตั้งโครงการพื้นที่ฝนชุก หากอยู่จังหวัดนอกพื้นที่ฝนชุกให้เลือก อื่นๆ" sqref="I6:J6">
      <formula1>$AI$13:$AI$24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tabColor rgb="FF7030A0"/>
  </sheetPr>
  <dimension ref="D1:V59"/>
  <sheetViews>
    <sheetView showGridLines="0" showRowColHeaders="0" showOutlineSymbols="0" zoomScalePageLayoutView="0" workbookViewId="0" topLeftCell="A1">
      <selection activeCell="N4" sqref="N4:O4"/>
    </sheetView>
  </sheetViews>
  <sheetFormatPr defaultColWidth="9.140625" defaultRowHeight="12.75"/>
  <cols>
    <col min="1" max="2" width="9.140625" style="3" customWidth="1"/>
    <col min="3" max="3" width="3.7109375" style="3" customWidth="1"/>
    <col min="4" max="4" width="10.28125" style="3" customWidth="1"/>
    <col min="5" max="5" width="10.28125" style="6" customWidth="1"/>
    <col min="6" max="10" width="10.8515625" style="3" hidden="1" customWidth="1"/>
    <col min="11" max="13" width="12.7109375" style="6" customWidth="1"/>
    <col min="14" max="16" width="12.7109375" style="3" customWidth="1"/>
    <col min="17" max="17" width="4.28125" style="3" customWidth="1"/>
    <col min="18" max="18" width="9.140625" style="53" hidden="1" customWidth="1"/>
    <col min="19" max="19" width="13.57421875" style="53" hidden="1" customWidth="1"/>
    <col min="20" max="20" width="14.140625" style="54" hidden="1" customWidth="1"/>
    <col min="21" max="21" width="11.421875" style="53" hidden="1" customWidth="1"/>
    <col min="22" max="22" width="9.140625" style="53" hidden="1" customWidth="1"/>
    <col min="23" max="16384" width="9.140625" style="3" customWidth="1"/>
  </cols>
  <sheetData>
    <row r="1" ht="16.5" customHeight="1" thickBot="1">
      <c r="P1" s="64" t="str">
        <f>F_อาคาร!P1</f>
        <v>Factor F_2555</v>
      </c>
    </row>
    <row r="2" spans="4:16" ht="23.25">
      <c r="D2" s="9"/>
      <c r="E2" s="9"/>
      <c r="F2" s="10"/>
      <c r="G2" s="10"/>
      <c r="H2" s="10"/>
      <c r="I2" s="10"/>
      <c r="J2" s="10"/>
      <c r="K2" s="709" t="s">
        <v>68</v>
      </c>
      <c r="L2" s="709"/>
      <c r="M2" s="709"/>
      <c r="N2" s="709"/>
      <c r="O2" s="709"/>
      <c r="P2" s="709"/>
    </row>
    <row r="3" spans="4:16" ht="8.25" customHeight="1">
      <c r="D3" s="9"/>
      <c r="E3" s="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4:21" ht="20.25">
      <c r="D4" s="1"/>
      <c r="E4" s="2"/>
      <c r="F4" s="7"/>
      <c r="G4" s="7"/>
      <c r="H4" s="7"/>
      <c r="I4" s="7"/>
      <c r="J4" s="7"/>
      <c r="K4" s="72"/>
      <c r="L4" s="708" t="s">
        <v>4</v>
      </c>
      <c r="M4" s="708"/>
      <c r="N4" s="706">
        <v>20000000</v>
      </c>
      <c r="O4" s="706"/>
      <c r="P4" s="149" t="s">
        <v>5</v>
      </c>
      <c r="S4" s="55"/>
      <c r="T4" s="56"/>
      <c r="U4" s="55"/>
    </row>
    <row r="5" spans="4:21" ht="20.25">
      <c r="D5" s="1"/>
      <c r="E5" s="115"/>
      <c r="F5" s="15"/>
      <c r="G5" s="15"/>
      <c r="H5" s="15"/>
      <c r="I5" s="15"/>
      <c r="J5" s="15"/>
      <c r="K5" s="15"/>
      <c r="L5" s="708" t="s">
        <v>13</v>
      </c>
      <c r="M5" s="708"/>
      <c r="N5" s="726">
        <f>IF(N4=0,0,IF(N4&lt;=5000000,P16,IF(N4&gt;=200000000,P57,U19)))</f>
        <v>1.222</v>
      </c>
      <c r="O5" s="726"/>
      <c r="P5" s="149"/>
      <c r="S5" s="55"/>
      <c r="T5" s="56"/>
      <c r="U5" s="55"/>
    </row>
    <row r="6" spans="4:16" ht="21" customHeight="1">
      <c r="D6" s="738" t="s">
        <v>29</v>
      </c>
      <c r="E6" s="738"/>
      <c r="F6" s="8"/>
      <c r="G6" s="8"/>
      <c r="H6" s="8"/>
      <c r="I6" s="8"/>
      <c r="J6" s="8"/>
      <c r="K6" s="8"/>
      <c r="L6" s="72" t="s">
        <v>28</v>
      </c>
      <c r="M6" s="72"/>
      <c r="N6" s="712">
        <f>ROUND((N5*N4),2)</f>
        <v>24440000</v>
      </c>
      <c r="O6" s="712"/>
      <c r="P6" s="149" t="s">
        <v>5</v>
      </c>
    </row>
    <row r="7" spans="4:16" ht="9" customHeight="1" thickBot="1">
      <c r="D7" s="1"/>
      <c r="E7" s="2"/>
      <c r="F7" s="12"/>
      <c r="G7" s="12"/>
      <c r="H7" s="12"/>
      <c r="I7" s="12"/>
      <c r="J7" s="12"/>
      <c r="K7" s="72"/>
      <c r="L7" s="72"/>
      <c r="M7" s="72"/>
      <c r="N7" s="114"/>
      <c r="O7" s="114"/>
      <c r="P7" s="7"/>
    </row>
    <row r="8" spans="4:16" ht="9.75" customHeight="1" hidden="1" thickBot="1">
      <c r="D8" s="713"/>
      <c r="E8" s="713"/>
      <c r="F8" s="714"/>
      <c r="G8" s="714"/>
      <c r="H8" s="714"/>
      <c r="I8" s="714"/>
      <c r="J8" s="714"/>
      <c r="K8" s="713"/>
      <c r="L8" s="713"/>
      <c r="M8" s="713"/>
      <c r="N8" s="713"/>
      <c r="O8" s="713"/>
      <c r="P8" s="713"/>
    </row>
    <row r="9" spans="4:22" s="4" customFormat="1" ht="22.5" customHeight="1">
      <c r="D9" s="709" t="s">
        <v>120</v>
      </c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709"/>
      <c r="P9" s="709"/>
      <c r="R9" s="57"/>
      <c r="S9" s="36"/>
      <c r="T9" s="36"/>
      <c r="U9" s="36"/>
      <c r="V9" s="57"/>
    </row>
    <row r="10" spans="4:17" ht="4.5" customHeight="1"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"/>
    </row>
    <row r="11" spans="4:16" ht="19.5">
      <c r="D11" s="1" t="s">
        <v>26</v>
      </c>
      <c r="E11" s="2"/>
      <c r="F11" s="1"/>
      <c r="G11" s="1"/>
      <c r="H11" s="1"/>
      <c r="I11" s="1"/>
      <c r="J11" s="1"/>
      <c r="K11" s="84">
        <v>0</v>
      </c>
      <c r="L11" s="2" t="s">
        <v>2</v>
      </c>
      <c r="M11" s="2" t="s">
        <v>0</v>
      </c>
      <c r="N11" s="1"/>
      <c r="O11" s="86">
        <v>7</v>
      </c>
      <c r="P11" s="1" t="s">
        <v>2</v>
      </c>
    </row>
    <row r="12" spans="4:21" ht="19.5">
      <c r="D12" s="1" t="s">
        <v>27</v>
      </c>
      <c r="E12" s="2"/>
      <c r="F12" s="1"/>
      <c r="G12" s="1"/>
      <c r="H12" s="1"/>
      <c r="I12" s="1"/>
      <c r="J12" s="1"/>
      <c r="K12" s="83">
        <v>0</v>
      </c>
      <c r="L12" s="2" t="s">
        <v>2</v>
      </c>
      <c r="M12" s="2" t="s">
        <v>3</v>
      </c>
      <c r="N12" s="1"/>
      <c r="O12" s="85">
        <v>7</v>
      </c>
      <c r="P12" s="1" t="s">
        <v>2</v>
      </c>
      <c r="U12" s="53">
        <f>IF(T14=T15,0,1)</f>
        <v>0</v>
      </c>
    </row>
    <row r="13" spans="4:16" ht="4.5" customHeight="1" thickBot="1">
      <c r="D13" s="14"/>
      <c r="E13" s="13"/>
      <c r="F13" s="14"/>
      <c r="G13" s="14"/>
      <c r="H13" s="14"/>
      <c r="I13" s="14"/>
      <c r="J13" s="14"/>
      <c r="K13" s="13"/>
      <c r="L13" s="13"/>
      <c r="M13" s="13"/>
      <c r="N13" s="14"/>
      <c r="O13" s="13"/>
      <c r="P13" s="14"/>
    </row>
    <row r="14" spans="4:21" ht="20.25">
      <c r="D14" s="715" t="s">
        <v>67</v>
      </c>
      <c r="E14" s="717" t="s">
        <v>30</v>
      </c>
      <c r="F14" s="718"/>
      <c r="G14" s="718"/>
      <c r="H14" s="718"/>
      <c r="I14" s="718"/>
      <c r="J14" s="718"/>
      <c r="K14" s="718"/>
      <c r="L14" s="718"/>
      <c r="M14" s="718"/>
      <c r="N14" s="717" t="s">
        <v>14</v>
      </c>
      <c r="O14" s="717" t="s">
        <v>15</v>
      </c>
      <c r="P14" s="720" t="s">
        <v>1</v>
      </c>
      <c r="S14" s="55" t="s">
        <v>6</v>
      </c>
      <c r="T14" s="58">
        <f>N4/1000000</f>
        <v>20</v>
      </c>
      <c r="U14" s="55"/>
    </row>
    <row r="15" spans="4:21" ht="42" customHeight="1" thickBot="1">
      <c r="D15" s="739"/>
      <c r="E15" s="142" t="s">
        <v>16</v>
      </c>
      <c r="F15" s="143" t="s">
        <v>17</v>
      </c>
      <c r="G15" s="143" t="s">
        <v>18</v>
      </c>
      <c r="H15" s="143" t="s">
        <v>19</v>
      </c>
      <c r="I15" s="143" t="s">
        <v>20</v>
      </c>
      <c r="J15" s="143" t="s">
        <v>21</v>
      </c>
      <c r="K15" s="142" t="s">
        <v>22</v>
      </c>
      <c r="L15" s="142" t="s">
        <v>23</v>
      </c>
      <c r="M15" s="142" t="s">
        <v>24</v>
      </c>
      <c r="N15" s="740"/>
      <c r="O15" s="740"/>
      <c r="P15" s="741"/>
      <c r="S15" s="55" t="s">
        <v>7</v>
      </c>
      <c r="T15" s="56">
        <f>VLOOKUP(T14,D17:D56,1)</f>
        <v>20</v>
      </c>
      <c r="U15" s="55">
        <f>VLOOKUP(T15,$D$17:$P$56,13,FALSE)</f>
        <v>1.222</v>
      </c>
    </row>
    <row r="16" spans="4:21" ht="18" customHeight="1">
      <c r="D16" s="93" t="s">
        <v>152</v>
      </c>
      <c r="E16" s="94">
        <v>10.2393</v>
      </c>
      <c r="F16" s="95">
        <v>6</v>
      </c>
      <c r="G16" s="95">
        <v>3</v>
      </c>
      <c r="H16" s="96">
        <f aca="true" t="shared" si="0" ref="H16:H57">$K$11</f>
        <v>0</v>
      </c>
      <c r="I16" s="96">
        <f aca="true" t="shared" si="1" ref="I16:I57">$K$12</f>
        <v>0</v>
      </c>
      <c r="J16" s="97">
        <f aca="true" t="shared" si="2" ref="J16:J57">$O$11</f>
        <v>7</v>
      </c>
      <c r="K16" s="94">
        <f aca="true" t="shared" si="3" ref="K16:K57">(-1)*(J16/12)*((I16/100)+((F16+G16-1)*(H16/100))-(((H16+I16)/100)*((F16+1)/2))-(G16-1))</f>
        <v>1.1666666666666667</v>
      </c>
      <c r="L16" s="94">
        <v>5.5</v>
      </c>
      <c r="M16" s="94">
        <f aca="true" t="shared" si="4" ref="M16:M39">E16+K16+L16</f>
        <v>16.905966666666664</v>
      </c>
      <c r="N16" s="98">
        <f aca="true" t="shared" si="5" ref="N16:N57">1+(M16/100)</f>
        <v>1.1690596666666666</v>
      </c>
      <c r="O16" s="94">
        <f aca="true" t="shared" si="6" ref="O16:O57">1+($O$12/100)</f>
        <v>1.07</v>
      </c>
      <c r="P16" s="99">
        <f aca="true" t="shared" si="7" ref="P16:P39">ROUND(N16*O16,4)</f>
        <v>1.2509</v>
      </c>
      <c r="S16" s="55" t="s">
        <v>9</v>
      </c>
      <c r="T16" s="59">
        <f>MATCH(T15,D17:D56)</f>
        <v>4</v>
      </c>
      <c r="U16" s="55"/>
    </row>
    <row r="17" spans="4:21" ht="18" customHeight="1" hidden="1">
      <c r="D17" s="100">
        <v>5</v>
      </c>
      <c r="E17" s="101">
        <v>10.2393</v>
      </c>
      <c r="F17" s="102">
        <v>6</v>
      </c>
      <c r="G17" s="102">
        <v>3</v>
      </c>
      <c r="H17" s="103">
        <f t="shared" si="0"/>
        <v>0</v>
      </c>
      <c r="I17" s="103">
        <f t="shared" si="1"/>
        <v>0</v>
      </c>
      <c r="J17" s="104">
        <f t="shared" si="2"/>
        <v>7</v>
      </c>
      <c r="K17" s="101">
        <f t="shared" si="3"/>
        <v>1.1666666666666667</v>
      </c>
      <c r="L17" s="101">
        <v>5.5</v>
      </c>
      <c r="M17" s="101">
        <f t="shared" si="4"/>
        <v>16.905966666666664</v>
      </c>
      <c r="N17" s="105">
        <f t="shared" si="5"/>
        <v>1.1690596666666666</v>
      </c>
      <c r="O17" s="101">
        <f t="shared" si="6"/>
        <v>1.07</v>
      </c>
      <c r="P17" s="106">
        <f t="shared" si="7"/>
        <v>1.2509</v>
      </c>
      <c r="S17" s="60" t="s">
        <v>10</v>
      </c>
      <c r="T17" s="59">
        <f>T16+1</f>
        <v>5</v>
      </c>
      <c r="U17" s="60"/>
    </row>
    <row r="18" spans="4:21" ht="18" customHeight="1">
      <c r="D18" s="100">
        <v>10</v>
      </c>
      <c r="E18" s="101">
        <v>7.9534</v>
      </c>
      <c r="F18" s="102">
        <v>9</v>
      </c>
      <c r="G18" s="102">
        <v>3</v>
      </c>
      <c r="H18" s="103">
        <f t="shared" si="0"/>
        <v>0</v>
      </c>
      <c r="I18" s="103">
        <f t="shared" si="1"/>
        <v>0</v>
      </c>
      <c r="J18" s="104">
        <f t="shared" si="2"/>
        <v>7</v>
      </c>
      <c r="K18" s="101">
        <f t="shared" si="3"/>
        <v>1.1666666666666667</v>
      </c>
      <c r="L18" s="101">
        <v>5.5</v>
      </c>
      <c r="M18" s="101">
        <f t="shared" si="4"/>
        <v>14.620066666666666</v>
      </c>
      <c r="N18" s="105">
        <f t="shared" si="5"/>
        <v>1.1462006666666666</v>
      </c>
      <c r="O18" s="101">
        <f t="shared" si="6"/>
        <v>1.07</v>
      </c>
      <c r="P18" s="106">
        <f t="shared" si="7"/>
        <v>1.2264</v>
      </c>
      <c r="S18" s="55" t="s">
        <v>8</v>
      </c>
      <c r="T18" s="59">
        <f>INDEX(D17:D56,T17)</f>
        <v>25</v>
      </c>
      <c r="U18" s="55">
        <f>VLOOKUP(T18,$D$17:$P$56,13,FALSE)</f>
        <v>1.2093</v>
      </c>
    </row>
    <row r="19" spans="4:21" ht="18" customHeight="1">
      <c r="D19" s="100">
        <v>15</v>
      </c>
      <c r="E19" s="101">
        <v>7.8042</v>
      </c>
      <c r="F19" s="102">
        <v>12</v>
      </c>
      <c r="G19" s="102">
        <v>3</v>
      </c>
      <c r="H19" s="103">
        <f t="shared" si="0"/>
        <v>0</v>
      </c>
      <c r="I19" s="103">
        <f t="shared" si="1"/>
        <v>0</v>
      </c>
      <c r="J19" s="104">
        <f t="shared" si="2"/>
        <v>7</v>
      </c>
      <c r="K19" s="101">
        <f t="shared" si="3"/>
        <v>1.1666666666666667</v>
      </c>
      <c r="L19" s="101">
        <v>5.5</v>
      </c>
      <c r="M19" s="101">
        <f t="shared" si="4"/>
        <v>14.470866666666666</v>
      </c>
      <c r="N19" s="105">
        <f t="shared" si="5"/>
        <v>1.1447086666666666</v>
      </c>
      <c r="O19" s="101">
        <f t="shared" si="6"/>
        <v>1.07</v>
      </c>
      <c r="P19" s="106">
        <f t="shared" si="7"/>
        <v>1.2248</v>
      </c>
      <c r="S19" s="55" t="s">
        <v>12</v>
      </c>
      <c r="T19" s="59"/>
      <c r="U19" s="55">
        <f>ROUND((U15-((U15-U18)*(T14-T15)/(T18-T15))),4)</f>
        <v>1.222</v>
      </c>
    </row>
    <row r="20" spans="4:21" ht="18" customHeight="1">
      <c r="D20" s="100">
        <v>20</v>
      </c>
      <c r="E20" s="101">
        <v>7.5435</v>
      </c>
      <c r="F20" s="102">
        <v>15</v>
      </c>
      <c r="G20" s="102">
        <v>3</v>
      </c>
      <c r="H20" s="103">
        <f t="shared" si="0"/>
        <v>0</v>
      </c>
      <c r="I20" s="103">
        <f t="shared" si="1"/>
        <v>0</v>
      </c>
      <c r="J20" s="104">
        <f t="shared" si="2"/>
        <v>7</v>
      </c>
      <c r="K20" s="101">
        <f t="shared" si="3"/>
        <v>1.1666666666666667</v>
      </c>
      <c r="L20" s="101">
        <v>5.5</v>
      </c>
      <c r="M20" s="101">
        <f t="shared" si="4"/>
        <v>14.210166666666666</v>
      </c>
      <c r="N20" s="105">
        <f t="shared" si="5"/>
        <v>1.1421016666666666</v>
      </c>
      <c r="O20" s="101">
        <f t="shared" si="6"/>
        <v>1.07</v>
      </c>
      <c r="P20" s="106">
        <f t="shared" si="7"/>
        <v>1.222</v>
      </c>
      <c r="S20" s="55">
        <v>0</v>
      </c>
      <c r="T20" s="61">
        <v>5</v>
      </c>
      <c r="U20" s="55">
        <v>7</v>
      </c>
    </row>
    <row r="21" spans="4:21" ht="18" customHeight="1">
      <c r="D21" s="100">
        <v>25</v>
      </c>
      <c r="E21" s="101">
        <v>6.3527</v>
      </c>
      <c r="F21" s="102">
        <v>15</v>
      </c>
      <c r="G21" s="102">
        <v>3</v>
      </c>
      <c r="H21" s="103">
        <f t="shared" si="0"/>
        <v>0</v>
      </c>
      <c r="I21" s="103">
        <f t="shared" si="1"/>
        <v>0</v>
      </c>
      <c r="J21" s="104">
        <f t="shared" si="2"/>
        <v>7</v>
      </c>
      <c r="K21" s="101">
        <f t="shared" si="3"/>
        <v>1.1666666666666667</v>
      </c>
      <c r="L21" s="101">
        <v>5.5</v>
      </c>
      <c r="M21" s="101">
        <f t="shared" si="4"/>
        <v>13.019366666666667</v>
      </c>
      <c r="N21" s="105">
        <f t="shared" si="5"/>
        <v>1.1301936666666665</v>
      </c>
      <c r="O21" s="101">
        <f t="shared" si="6"/>
        <v>1.07</v>
      </c>
      <c r="P21" s="106">
        <f t="shared" si="7"/>
        <v>1.2093</v>
      </c>
      <c r="S21" s="55">
        <v>5</v>
      </c>
      <c r="T21" s="61">
        <v>6</v>
      </c>
      <c r="U21" s="55">
        <v>10</v>
      </c>
    </row>
    <row r="22" spans="4:21" ht="18" customHeight="1">
      <c r="D22" s="100">
        <v>30</v>
      </c>
      <c r="E22" s="101">
        <v>6.4889</v>
      </c>
      <c r="F22" s="102">
        <v>18</v>
      </c>
      <c r="G22" s="102">
        <v>3</v>
      </c>
      <c r="H22" s="103">
        <f t="shared" si="0"/>
        <v>0</v>
      </c>
      <c r="I22" s="103">
        <f t="shared" si="1"/>
        <v>0</v>
      </c>
      <c r="J22" s="104">
        <f t="shared" si="2"/>
        <v>7</v>
      </c>
      <c r="K22" s="101">
        <f t="shared" si="3"/>
        <v>1.1666666666666667</v>
      </c>
      <c r="L22" s="101">
        <v>5</v>
      </c>
      <c r="M22" s="101">
        <f t="shared" si="4"/>
        <v>12.655566666666667</v>
      </c>
      <c r="N22" s="105">
        <f t="shared" si="5"/>
        <v>1.1265556666666667</v>
      </c>
      <c r="O22" s="101">
        <f t="shared" si="6"/>
        <v>1.07</v>
      </c>
      <c r="P22" s="106">
        <f t="shared" si="7"/>
        <v>1.2054</v>
      </c>
      <c r="S22" s="55">
        <v>10</v>
      </c>
      <c r="T22" s="62">
        <v>7</v>
      </c>
      <c r="U22" s="55"/>
    </row>
    <row r="23" spans="4:21" ht="18" customHeight="1">
      <c r="D23" s="100">
        <v>35</v>
      </c>
      <c r="E23" s="101">
        <v>6.0807</v>
      </c>
      <c r="F23" s="102">
        <v>19</v>
      </c>
      <c r="G23" s="102">
        <v>3</v>
      </c>
      <c r="H23" s="103">
        <f t="shared" si="0"/>
        <v>0</v>
      </c>
      <c r="I23" s="103">
        <f t="shared" si="1"/>
        <v>0</v>
      </c>
      <c r="J23" s="104">
        <f t="shared" si="2"/>
        <v>7</v>
      </c>
      <c r="K23" s="101">
        <f t="shared" si="3"/>
        <v>1.1666666666666667</v>
      </c>
      <c r="L23" s="101">
        <v>5</v>
      </c>
      <c r="M23" s="101">
        <f t="shared" si="4"/>
        <v>12.247366666666668</v>
      </c>
      <c r="N23" s="105">
        <f t="shared" si="5"/>
        <v>1.1224736666666666</v>
      </c>
      <c r="O23" s="101">
        <f t="shared" si="6"/>
        <v>1.07</v>
      </c>
      <c r="P23" s="106">
        <f t="shared" si="7"/>
        <v>1.201</v>
      </c>
      <c r="S23" s="55">
        <v>15</v>
      </c>
      <c r="T23" s="62">
        <v>8</v>
      </c>
      <c r="U23" s="55"/>
    </row>
    <row r="24" spans="4:21" ht="18" customHeight="1">
      <c r="D24" s="100">
        <v>40</v>
      </c>
      <c r="E24" s="101">
        <v>5.5419</v>
      </c>
      <c r="F24" s="102">
        <v>19</v>
      </c>
      <c r="G24" s="102">
        <v>3</v>
      </c>
      <c r="H24" s="103">
        <f t="shared" si="0"/>
        <v>0</v>
      </c>
      <c r="I24" s="103">
        <f t="shared" si="1"/>
        <v>0</v>
      </c>
      <c r="J24" s="104">
        <f t="shared" si="2"/>
        <v>7</v>
      </c>
      <c r="K24" s="101">
        <f t="shared" si="3"/>
        <v>1.1666666666666667</v>
      </c>
      <c r="L24" s="101">
        <v>5</v>
      </c>
      <c r="M24" s="101">
        <f t="shared" si="4"/>
        <v>11.708566666666666</v>
      </c>
      <c r="N24" s="105">
        <f t="shared" si="5"/>
        <v>1.1170856666666666</v>
      </c>
      <c r="O24" s="101">
        <f t="shared" si="6"/>
        <v>1.07</v>
      </c>
      <c r="P24" s="106">
        <f t="shared" si="7"/>
        <v>1.1953</v>
      </c>
      <c r="S24" s="55"/>
      <c r="T24" s="61">
        <v>9</v>
      </c>
      <c r="U24" s="55"/>
    </row>
    <row r="25" spans="4:21" ht="18" customHeight="1">
      <c r="D25" s="100">
        <v>45</v>
      </c>
      <c r="E25" s="101">
        <v>5.1229</v>
      </c>
      <c r="F25" s="102">
        <v>19</v>
      </c>
      <c r="G25" s="102">
        <v>3</v>
      </c>
      <c r="H25" s="103">
        <f t="shared" si="0"/>
        <v>0</v>
      </c>
      <c r="I25" s="103">
        <f t="shared" si="1"/>
        <v>0</v>
      </c>
      <c r="J25" s="104">
        <f t="shared" si="2"/>
        <v>7</v>
      </c>
      <c r="K25" s="101">
        <f t="shared" si="3"/>
        <v>1.1666666666666667</v>
      </c>
      <c r="L25" s="101">
        <v>4.5</v>
      </c>
      <c r="M25" s="101">
        <f t="shared" si="4"/>
        <v>10.789566666666666</v>
      </c>
      <c r="N25" s="105">
        <f t="shared" si="5"/>
        <v>1.1078956666666666</v>
      </c>
      <c r="O25" s="101">
        <f t="shared" si="6"/>
        <v>1.07</v>
      </c>
      <c r="P25" s="106">
        <f t="shared" si="7"/>
        <v>1.1854</v>
      </c>
      <c r="S25" s="55"/>
      <c r="T25" s="61">
        <v>10</v>
      </c>
      <c r="U25" s="55"/>
    </row>
    <row r="26" spans="4:16" ht="18" customHeight="1">
      <c r="D26" s="100">
        <v>50</v>
      </c>
      <c r="E26" s="101">
        <v>4.7877</v>
      </c>
      <c r="F26" s="102">
        <v>19</v>
      </c>
      <c r="G26" s="102">
        <v>3</v>
      </c>
      <c r="H26" s="103">
        <f t="shared" si="0"/>
        <v>0</v>
      </c>
      <c r="I26" s="103">
        <f t="shared" si="1"/>
        <v>0</v>
      </c>
      <c r="J26" s="104">
        <f t="shared" si="2"/>
        <v>7</v>
      </c>
      <c r="K26" s="101">
        <f t="shared" si="3"/>
        <v>1.1666666666666667</v>
      </c>
      <c r="L26" s="101">
        <v>4.5</v>
      </c>
      <c r="M26" s="101">
        <f t="shared" si="4"/>
        <v>10.454366666666667</v>
      </c>
      <c r="N26" s="105">
        <f t="shared" si="5"/>
        <v>1.1045436666666666</v>
      </c>
      <c r="O26" s="101">
        <f t="shared" si="6"/>
        <v>1.07</v>
      </c>
      <c r="P26" s="106">
        <f t="shared" si="7"/>
        <v>1.1819</v>
      </c>
    </row>
    <row r="27" spans="4:16" ht="18" customHeight="1">
      <c r="D27" s="100">
        <v>55</v>
      </c>
      <c r="E27" s="101">
        <v>4.6237</v>
      </c>
      <c r="F27" s="102">
        <v>19</v>
      </c>
      <c r="G27" s="102">
        <v>3</v>
      </c>
      <c r="H27" s="103">
        <f t="shared" si="0"/>
        <v>0</v>
      </c>
      <c r="I27" s="103">
        <f t="shared" si="1"/>
        <v>0</v>
      </c>
      <c r="J27" s="104">
        <f t="shared" si="2"/>
        <v>7</v>
      </c>
      <c r="K27" s="101">
        <f t="shared" si="3"/>
        <v>1.1666666666666667</v>
      </c>
      <c r="L27" s="101">
        <v>4.5</v>
      </c>
      <c r="M27" s="101">
        <f t="shared" si="4"/>
        <v>10.290366666666667</v>
      </c>
      <c r="N27" s="105">
        <f t="shared" si="5"/>
        <v>1.1029036666666667</v>
      </c>
      <c r="O27" s="101">
        <f t="shared" si="6"/>
        <v>1.07</v>
      </c>
      <c r="P27" s="106">
        <f t="shared" si="7"/>
        <v>1.1801</v>
      </c>
    </row>
    <row r="28" spans="4:16" ht="18" customHeight="1">
      <c r="D28" s="100">
        <v>60</v>
      </c>
      <c r="E28" s="101">
        <v>4.4544</v>
      </c>
      <c r="F28" s="102">
        <v>19</v>
      </c>
      <c r="G28" s="102">
        <v>3</v>
      </c>
      <c r="H28" s="103">
        <f t="shared" si="0"/>
        <v>0</v>
      </c>
      <c r="I28" s="103">
        <f t="shared" si="1"/>
        <v>0</v>
      </c>
      <c r="J28" s="104">
        <f t="shared" si="2"/>
        <v>7</v>
      </c>
      <c r="K28" s="101">
        <f t="shared" si="3"/>
        <v>1.1666666666666667</v>
      </c>
      <c r="L28" s="101">
        <v>4.5</v>
      </c>
      <c r="M28" s="101">
        <f t="shared" si="4"/>
        <v>10.121066666666668</v>
      </c>
      <c r="N28" s="105">
        <f t="shared" si="5"/>
        <v>1.1012106666666668</v>
      </c>
      <c r="O28" s="101">
        <f t="shared" si="6"/>
        <v>1.07</v>
      </c>
      <c r="P28" s="106">
        <f t="shared" si="7"/>
        <v>1.1783</v>
      </c>
    </row>
    <row r="29" spans="4:16" ht="18" customHeight="1">
      <c r="D29" s="100">
        <v>65</v>
      </c>
      <c r="E29" s="101">
        <v>4.6722</v>
      </c>
      <c r="F29" s="102">
        <v>21</v>
      </c>
      <c r="G29" s="102">
        <v>3</v>
      </c>
      <c r="H29" s="103">
        <f t="shared" si="0"/>
        <v>0</v>
      </c>
      <c r="I29" s="103">
        <f t="shared" si="1"/>
        <v>0</v>
      </c>
      <c r="J29" s="104">
        <f t="shared" si="2"/>
        <v>7</v>
      </c>
      <c r="K29" s="101">
        <f t="shared" si="3"/>
        <v>1.1666666666666667</v>
      </c>
      <c r="L29" s="101">
        <v>4</v>
      </c>
      <c r="M29" s="101">
        <f t="shared" si="4"/>
        <v>9.838866666666668</v>
      </c>
      <c r="N29" s="105">
        <f t="shared" si="5"/>
        <v>1.0983886666666667</v>
      </c>
      <c r="O29" s="101">
        <f t="shared" si="6"/>
        <v>1.07</v>
      </c>
      <c r="P29" s="106">
        <f t="shared" si="7"/>
        <v>1.1753</v>
      </c>
    </row>
    <row r="30" spans="4:16" ht="18" customHeight="1">
      <c r="D30" s="100">
        <v>70</v>
      </c>
      <c r="E30" s="101">
        <v>4.539</v>
      </c>
      <c r="F30" s="102">
        <v>21</v>
      </c>
      <c r="G30" s="102">
        <v>3</v>
      </c>
      <c r="H30" s="103">
        <f t="shared" si="0"/>
        <v>0</v>
      </c>
      <c r="I30" s="103">
        <f t="shared" si="1"/>
        <v>0</v>
      </c>
      <c r="J30" s="104">
        <f t="shared" si="2"/>
        <v>7</v>
      </c>
      <c r="K30" s="101">
        <f t="shared" si="3"/>
        <v>1.1666666666666667</v>
      </c>
      <c r="L30" s="101">
        <v>4</v>
      </c>
      <c r="M30" s="101">
        <f t="shared" si="4"/>
        <v>9.705666666666666</v>
      </c>
      <c r="N30" s="105">
        <f t="shared" si="5"/>
        <v>1.0970566666666666</v>
      </c>
      <c r="O30" s="101">
        <f t="shared" si="6"/>
        <v>1.07</v>
      </c>
      <c r="P30" s="106">
        <f t="shared" si="7"/>
        <v>1.1739</v>
      </c>
    </row>
    <row r="31" spans="4:16" ht="18" customHeight="1">
      <c r="D31" s="100">
        <v>75</v>
      </c>
      <c r="E31" s="101">
        <v>4.4235</v>
      </c>
      <c r="F31" s="102">
        <v>21</v>
      </c>
      <c r="G31" s="102">
        <v>3</v>
      </c>
      <c r="H31" s="103">
        <f t="shared" si="0"/>
        <v>0</v>
      </c>
      <c r="I31" s="103">
        <f t="shared" si="1"/>
        <v>0</v>
      </c>
      <c r="J31" s="104">
        <f t="shared" si="2"/>
        <v>7</v>
      </c>
      <c r="K31" s="101">
        <f t="shared" si="3"/>
        <v>1.1666666666666667</v>
      </c>
      <c r="L31" s="101">
        <v>4</v>
      </c>
      <c r="M31" s="101">
        <f t="shared" si="4"/>
        <v>9.590166666666667</v>
      </c>
      <c r="N31" s="105">
        <f t="shared" si="5"/>
        <v>1.0959016666666668</v>
      </c>
      <c r="O31" s="101">
        <f t="shared" si="6"/>
        <v>1.07</v>
      </c>
      <c r="P31" s="106">
        <f t="shared" si="7"/>
        <v>1.1726</v>
      </c>
    </row>
    <row r="32" spans="4:16" ht="18" customHeight="1">
      <c r="D32" s="100">
        <v>80</v>
      </c>
      <c r="E32" s="101">
        <v>4.3224</v>
      </c>
      <c r="F32" s="102">
        <v>21</v>
      </c>
      <c r="G32" s="102">
        <v>3</v>
      </c>
      <c r="H32" s="103">
        <f t="shared" si="0"/>
        <v>0</v>
      </c>
      <c r="I32" s="103">
        <f t="shared" si="1"/>
        <v>0</v>
      </c>
      <c r="J32" s="104">
        <f t="shared" si="2"/>
        <v>7</v>
      </c>
      <c r="K32" s="101">
        <f t="shared" si="3"/>
        <v>1.1666666666666667</v>
      </c>
      <c r="L32" s="101">
        <v>4</v>
      </c>
      <c r="M32" s="101">
        <f t="shared" si="4"/>
        <v>9.489066666666666</v>
      </c>
      <c r="N32" s="105">
        <f t="shared" si="5"/>
        <v>1.0948906666666667</v>
      </c>
      <c r="O32" s="101">
        <f t="shared" si="6"/>
        <v>1.07</v>
      </c>
      <c r="P32" s="106">
        <f t="shared" si="7"/>
        <v>1.1715</v>
      </c>
    </row>
    <row r="33" spans="4:16" ht="18" customHeight="1">
      <c r="D33" s="100">
        <v>85</v>
      </c>
      <c r="E33" s="101">
        <v>4.2333</v>
      </c>
      <c r="F33" s="102">
        <v>21</v>
      </c>
      <c r="G33" s="102">
        <v>3</v>
      </c>
      <c r="H33" s="103">
        <f t="shared" si="0"/>
        <v>0</v>
      </c>
      <c r="I33" s="103">
        <f t="shared" si="1"/>
        <v>0</v>
      </c>
      <c r="J33" s="104">
        <f t="shared" si="2"/>
        <v>7</v>
      </c>
      <c r="K33" s="101">
        <f t="shared" si="3"/>
        <v>1.1666666666666667</v>
      </c>
      <c r="L33" s="101">
        <v>4</v>
      </c>
      <c r="M33" s="101">
        <f t="shared" si="4"/>
        <v>9.399966666666668</v>
      </c>
      <c r="N33" s="105">
        <f t="shared" si="5"/>
        <v>1.0939996666666667</v>
      </c>
      <c r="O33" s="101">
        <f t="shared" si="6"/>
        <v>1.07</v>
      </c>
      <c r="P33" s="106">
        <f t="shared" si="7"/>
        <v>1.1706</v>
      </c>
    </row>
    <row r="34" spans="4:16" ht="18" customHeight="1">
      <c r="D34" s="100">
        <v>90</v>
      </c>
      <c r="E34" s="101">
        <v>4.154</v>
      </c>
      <c r="F34" s="102">
        <v>21</v>
      </c>
      <c r="G34" s="102">
        <v>3</v>
      </c>
      <c r="H34" s="103">
        <f t="shared" si="0"/>
        <v>0</v>
      </c>
      <c r="I34" s="103">
        <f t="shared" si="1"/>
        <v>0</v>
      </c>
      <c r="J34" s="104">
        <f t="shared" si="2"/>
        <v>7</v>
      </c>
      <c r="K34" s="101">
        <f t="shared" si="3"/>
        <v>1.1666666666666667</v>
      </c>
      <c r="L34" s="101">
        <v>4</v>
      </c>
      <c r="M34" s="101">
        <f t="shared" si="4"/>
        <v>9.320666666666668</v>
      </c>
      <c r="N34" s="105">
        <f t="shared" si="5"/>
        <v>1.0932066666666667</v>
      </c>
      <c r="O34" s="101">
        <f t="shared" si="6"/>
        <v>1.07</v>
      </c>
      <c r="P34" s="106">
        <f t="shared" si="7"/>
        <v>1.1697</v>
      </c>
    </row>
    <row r="35" spans="4:16" ht="18" customHeight="1">
      <c r="D35" s="100">
        <v>95</v>
      </c>
      <c r="E35" s="101">
        <v>4.0831</v>
      </c>
      <c r="F35" s="102">
        <v>21</v>
      </c>
      <c r="G35" s="102">
        <v>3</v>
      </c>
      <c r="H35" s="103">
        <f t="shared" si="0"/>
        <v>0</v>
      </c>
      <c r="I35" s="103">
        <f t="shared" si="1"/>
        <v>0</v>
      </c>
      <c r="J35" s="104">
        <f t="shared" si="2"/>
        <v>7</v>
      </c>
      <c r="K35" s="101">
        <f t="shared" si="3"/>
        <v>1.1666666666666667</v>
      </c>
      <c r="L35" s="101">
        <v>4</v>
      </c>
      <c r="M35" s="101">
        <f t="shared" si="4"/>
        <v>9.249766666666666</v>
      </c>
      <c r="N35" s="105">
        <f t="shared" si="5"/>
        <v>1.0924976666666666</v>
      </c>
      <c r="O35" s="101">
        <f t="shared" si="6"/>
        <v>1.07</v>
      </c>
      <c r="P35" s="106">
        <f t="shared" si="7"/>
        <v>1.169</v>
      </c>
    </row>
    <row r="36" spans="4:16" ht="18" customHeight="1">
      <c r="D36" s="100">
        <v>100</v>
      </c>
      <c r="E36" s="101">
        <v>4.0193</v>
      </c>
      <c r="F36" s="102">
        <v>21</v>
      </c>
      <c r="G36" s="102">
        <v>3</v>
      </c>
      <c r="H36" s="103">
        <f t="shared" si="0"/>
        <v>0</v>
      </c>
      <c r="I36" s="103">
        <f t="shared" si="1"/>
        <v>0</v>
      </c>
      <c r="J36" s="104">
        <f t="shared" si="2"/>
        <v>7</v>
      </c>
      <c r="K36" s="101">
        <f t="shared" si="3"/>
        <v>1.1666666666666667</v>
      </c>
      <c r="L36" s="101">
        <v>4</v>
      </c>
      <c r="M36" s="101">
        <f t="shared" si="4"/>
        <v>9.185966666666667</v>
      </c>
      <c r="N36" s="105">
        <f t="shared" si="5"/>
        <v>1.0918596666666667</v>
      </c>
      <c r="O36" s="101">
        <f t="shared" si="6"/>
        <v>1.07</v>
      </c>
      <c r="P36" s="106">
        <f t="shared" si="7"/>
        <v>1.1683</v>
      </c>
    </row>
    <row r="37" spans="4:16" ht="18" customHeight="1">
      <c r="D37" s="100">
        <v>105</v>
      </c>
      <c r="E37" s="101">
        <v>4.1756</v>
      </c>
      <c r="F37" s="102">
        <v>21</v>
      </c>
      <c r="G37" s="102">
        <v>3</v>
      </c>
      <c r="H37" s="103">
        <f t="shared" si="0"/>
        <v>0</v>
      </c>
      <c r="I37" s="103">
        <f t="shared" si="1"/>
        <v>0</v>
      </c>
      <c r="J37" s="104">
        <f t="shared" si="2"/>
        <v>7</v>
      </c>
      <c r="K37" s="101">
        <f t="shared" si="3"/>
        <v>1.1666666666666667</v>
      </c>
      <c r="L37" s="101">
        <v>3.5</v>
      </c>
      <c r="M37" s="101">
        <f t="shared" si="4"/>
        <v>8.842266666666667</v>
      </c>
      <c r="N37" s="105">
        <f t="shared" si="5"/>
        <v>1.0884226666666668</v>
      </c>
      <c r="O37" s="101">
        <f t="shared" si="6"/>
        <v>1.07</v>
      </c>
      <c r="P37" s="106">
        <f t="shared" si="7"/>
        <v>1.1646</v>
      </c>
    </row>
    <row r="38" spans="4:16" ht="18" customHeight="1">
      <c r="D38" s="100">
        <v>110</v>
      </c>
      <c r="E38" s="101">
        <v>4.037</v>
      </c>
      <c r="F38" s="102">
        <v>21</v>
      </c>
      <c r="G38" s="102">
        <v>3</v>
      </c>
      <c r="H38" s="103">
        <f t="shared" si="0"/>
        <v>0</v>
      </c>
      <c r="I38" s="103">
        <f t="shared" si="1"/>
        <v>0</v>
      </c>
      <c r="J38" s="104">
        <f t="shared" si="2"/>
        <v>7</v>
      </c>
      <c r="K38" s="101">
        <f t="shared" si="3"/>
        <v>1.1666666666666667</v>
      </c>
      <c r="L38" s="101">
        <v>3.5</v>
      </c>
      <c r="M38" s="101">
        <f t="shared" si="4"/>
        <v>8.703666666666667</v>
      </c>
      <c r="N38" s="105">
        <f t="shared" si="5"/>
        <v>1.0870366666666667</v>
      </c>
      <c r="O38" s="101">
        <f t="shared" si="6"/>
        <v>1.07</v>
      </c>
      <c r="P38" s="106">
        <f t="shared" si="7"/>
        <v>1.1631</v>
      </c>
    </row>
    <row r="39" spans="4:16" ht="18" customHeight="1">
      <c r="D39" s="100">
        <v>115</v>
      </c>
      <c r="E39" s="101">
        <v>3.9104</v>
      </c>
      <c r="F39" s="102">
        <v>21</v>
      </c>
      <c r="G39" s="102">
        <v>3</v>
      </c>
      <c r="H39" s="103">
        <f t="shared" si="0"/>
        <v>0</v>
      </c>
      <c r="I39" s="103">
        <f t="shared" si="1"/>
        <v>0</v>
      </c>
      <c r="J39" s="104">
        <f t="shared" si="2"/>
        <v>7</v>
      </c>
      <c r="K39" s="101">
        <f t="shared" si="3"/>
        <v>1.1666666666666667</v>
      </c>
      <c r="L39" s="101">
        <v>3.5</v>
      </c>
      <c r="M39" s="101">
        <f t="shared" si="4"/>
        <v>8.577066666666667</v>
      </c>
      <c r="N39" s="105">
        <f t="shared" si="5"/>
        <v>1.0857706666666667</v>
      </c>
      <c r="O39" s="101">
        <f t="shared" si="6"/>
        <v>1.07</v>
      </c>
      <c r="P39" s="106">
        <f t="shared" si="7"/>
        <v>1.1618</v>
      </c>
    </row>
    <row r="40" spans="4:16" ht="18" customHeight="1">
      <c r="D40" s="100">
        <v>120</v>
      </c>
      <c r="E40" s="101">
        <v>3.7945</v>
      </c>
      <c r="F40" s="102">
        <v>21</v>
      </c>
      <c r="G40" s="102">
        <v>3</v>
      </c>
      <c r="H40" s="103">
        <f t="shared" si="0"/>
        <v>0</v>
      </c>
      <c r="I40" s="103">
        <f t="shared" si="1"/>
        <v>0</v>
      </c>
      <c r="J40" s="104">
        <f t="shared" si="2"/>
        <v>7</v>
      </c>
      <c r="K40" s="101">
        <f t="shared" si="3"/>
        <v>1.1666666666666667</v>
      </c>
      <c r="L40" s="101">
        <v>3.5</v>
      </c>
      <c r="M40" s="101">
        <f aca="true" t="shared" si="8" ref="M40:M57">E40+K40+L40</f>
        <v>8.461166666666667</v>
      </c>
      <c r="N40" s="105">
        <f t="shared" si="5"/>
        <v>1.0846116666666668</v>
      </c>
      <c r="O40" s="101">
        <f t="shared" si="6"/>
        <v>1.07</v>
      </c>
      <c r="P40" s="106">
        <f aca="true" t="shared" si="9" ref="P40:P57">ROUND(N40*O40,4)</f>
        <v>1.1605</v>
      </c>
    </row>
    <row r="41" spans="4:16" ht="18" customHeight="1">
      <c r="D41" s="100">
        <v>125</v>
      </c>
      <c r="E41" s="101">
        <v>3.6877</v>
      </c>
      <c r="F41" s="102">
        <v>21</v>
      </c>
      <c r="G41" s="102">
        <v>3</v>
      </c>
      <c r="H41" s="103">
        <f t="shared" si="0"/>
        <v>0</v>
      </c>
      <c r="I41" s="103">
        <f t="shared" si="1"/>
        <v>0</v>
      </c>
      <c r="J41" s="104">
        <f t="shared" si="2"/>
        <v>7</v>
      </c>
      <c r="K41" s="101">
        <f t="shared" si="3"/>
        <v>1.1666666666666667</v>
      </c>
      <c r="L41" s="101">
        <v>3.5</v>
      </c>
      <c r="M41" s="101">
        <f t="shared" si="8"/>
        <v>8.354366666666667</v>
      </c>
      <c r="N41" s="105">
        <f t="shared" si="5"/>
        <v>1.0835436666666667</v>
      </c>
      <c r="O41" s="101">
        <f t="shared" si="6"/>
        <v>1.07</v>
      </c>
      <c r="P41" s="106">
        <f t="shared" si="9"/>
        <v>1.1594</v>
      </c>
    </row>
    <row r="42" spans="4:16" ht="18" customHeight="1">
      <c r="D42" s="100">
        <v>130</v>
      </c>
      <c r="E42" s="101">
        <v>3.5892</v>
      </c>
      <c r="F42" s="102">
        <v>21</v>
      </c>
      <c r="G42" s="102">
        <v>3</v>
      </c>
      <c r="H42" s="103">
        <f t="shared" si="0"/>
        <v>0</v>
      </c>
      <c r="I42" s="103">
        <f t="shared" si="1"/>
        <v>0</v>
      </c>
      <c r="J42" s="104">
        <f t="shared" si="2"/>
        <v>7</v>
      </c>
      <c r="K42" s="101">
        <f t="shared" si="3"/>
        <v>1.1666666666666667</v>
      </c>
      <c r="L42" s="101">
        <v>3.5</v>
      </c>
      <c r="M42" s="101">
        <f t="shared" si="8"/>
        <v>8.255866666666666</v>
      </c>
      <c r="N42" s="105">
        <f t="shared" si="5"/>
        <v>1.0825586666666667</v>
      </c>
      <c r="O42" s="101">
        <f t="shared" si="6"/>
        <v>1.07</v>
      </c>
      <c r="P42" s="106">
        <f t="shared" si="9"/>
        <v>1.1583</v>
      </c>
    </row>
    <row r="43" spans="4:16" ht="18" customHeight="1">
      <c r="D43" s="100">
        <v>135</v>
      </c>
      <c r="E43" s="101">
        <v>3.498</v>
      </c>
      <c r="F43" s="102">
        <v>21</v>
      </c>
      <c r="G43" s="102">
        <v>3</v>
      </c>
      <c r="H43" s="103">
        <f t="shared" si="0"/>
        <v>0</v>
      </c>
      <c r="I43" s="103">
        <f t="shared" si="1"/>
        <v>0</v>
      </c>
      <c r="J43" s="104">
        <f t="shared" si="2"/>
        <v>7</v>
      </c>
      <c r="K43" s="101">
        <f t="shared" si="3"/>
        <v>1.1666666666666667</v>
      </c>
      <c r="L43" s="101">
        <v>3.5</v>
      </c>
      <c r="M43" s="101">
        <f t="shared" si="8"/>
        <v>8.164666666666667</v>
      </c>
      <c r="N43" s="105">
        <f t="shared" si="5"/>
        <v>1.0816466666666666</v>
      </c>
      <c r="O43" s="101">
        <f t="shared" si="6"/>
        <v>1.07</v>
      </c>
      <c r="P43" s="106">
        <f t="shared" si="9"/>
        <v>1.1574</v>
      </c>
    </row>
    <row r="44" spans="4:16" ht="18" customHeight="1">
      <c r="D44" s="100">
        <v>140</v>
      </c>
      <c r="E44" s="101">
        <v>3.4134</v>
      </c>
      <c r="F44" s="102">
        <v>21</v>
      </c>
      <c r="G44" s="102">
        <v>3</v>
      </c>
      <c r="H44" s="103">
        <f t="shared" si="0"/>
        <v>0</v>
      </c>
      <c r="I44" s="103">
        <f t="shared" si="1"/>
        <v>0</v>
      </c>
      <c r="J44" s="104">
        <f t="shared" si="2"/>
        <v>7</v>
      </c>
      <c r="K44" s="101">
        <f t="shared" si="3"/>
        <v>1.1666666666666667</v>
      </c>
      <c r="L44" s="101">
        <v>3.5</v>
      </c>
      <c r="M44" s="101">
        <f t="shared" si="8"/>
        <v>8.080066666666667</v>
      </c>
      <c r="N44" s="105">
        <f t="shared" si="5"/>
        <v>1.0808006666666667</v>
      </c>
      <c r="O44" s="101">
        <f t="shared" si="6"/>
        <v>1.07</v>
      </c>
      <c r="P44" s="106">
        <f t="shared" si="9"/>
        <v>1.1565</v>
      </c>
    </row>
    <row r="45" spans="4:16" ht="18" customHeight="1">
      <c r="D45" s="100">
        <v>145</v>
      </c>
      <c r="E45" s="101">
        <v>3.3345</v>
      </c>
      <c r="F45" s="102">
        <v>21</v>
      </c>
      <c r="G45" s="102">
        <v>3</v>
      </c>
      <c r="H45" s="103">
        <f t="shared" si="0"/>
        <v>0</v>
      </c>
      <c r="I45" s="103">
        <f t="shared" si="1"/>
        <v>0</v>
      </c>
      <c r="J45" s="104">
        <f t="shared" si="2"/>
        <v>7</v>
      </c>
      <c r="K45" s="101">
        <f t="shared" si="3"/>
        <v>1.1666666666666667</v>
      </c>
      <c r="L45" s="101">
        <v>3.5</v>
      </c>
      <c r="M45" s="101">
        <f t="shared" si="8"/>
        <v>8.001166666666666</v>
      </c>
      <c r="N45" s="105">
        <f t="shared" si="5"/>
        <v>1.0800116666666666</v>
      </c>
      <c r="O45" s="101">
        <f t="shared" si="6"/>
        <v>1.07</v>
      </c>
      <c r="P45" s="106">
        <f t="shared" si="9"/>
        <v>1.1556</v>
      </c>
    </row>
    <row r="46" spans="4:16" ht="18" customHeight="1">
      <c r="D46" s="100">
        <v>150</v>
      </c>
      <c r="E46" s="101">
        <v>3.2609</v>
      </c>
      <c r="F46" s="102">
        <v>21</v>
      </c>
      <c r="G46" s="102">
        <v>3</v>
      </c>
      <c r="H46" s="103">
        <f t="shared" si="0"/>
        <v>0</v>
      </c>
      <c r="I46" s="103">
        <f t="shared" si="1"/>
        <v>0</v>
      </c>
      <c r="J46" s="104">
        <f t="shared" si="2"/>
        <v>7</v>
      </c>
      <c r="K46" s="101">
        <f t="shared" si="3"/>
        <v>1.1666666666666667</v>
      </c>
      <c r="L46" s="101">
        <v>3.5</v>
      </c>
      <c r="M46" s="101">
        <f t="shared" si="8"/>
        <v>7.927566666666666</v>
      </c>
      <c r="N46" s="105">
        <f t="shared" si="5"/>
        <v>1.0792756666666667</v>
      </c>
      <c r="O46" s="101">
        <f t="shared" si="6"/>
        <v>1.07</v>
      </c>
      <c r="P46" s="106">
        <f t="shared" si="9"/>
        <v>1.1548</v>
      </c>
    </row>
    <row r="47" spans="4:16" ht="18" customHeight="1">
      <c r="D47" s="100">
        <v>155</v>
      </c>
      <c r="E47" s="101">
        <v>3.1921</v>
      </c>
      <c r="F47" s="102">
        <v>21</v>
      </c>
      <c r="G47" s="102">
        <v>3</v>
      </c>
      <c r="H47" s="103">
        <f t="shared" si="0"/>
        <v>0</v>
      </c>
      <c r="I47" s="103">
        <f t="shared" si="1"/>
        <v>0</v>
      </c>
      <c r="J47" s="104">
        <f t="shared" si="2"/>
        <v>7</v>
      </c>
      <c r="K47" s="101">
        <f t="shared" si="3"/>
        <v>1.1666666666666667</v>
      </c>
      <c r="L47" s="101">
        <v>3.5</v>
      </c>
      <c r="M47" s="101">
        <f t="shared" si="8"/>
        <v>7.858766666666667</v>
      </c>
      <c r="N47" s="105">
        <f t="shared" si="5"/>
        <v>1.0785876666666667</v>
      </c>
      <c r="O47" s="101">
        <f t="shared" si="6"/>
        <v>1.07</v>
      </c>
      <c r="P47" s="106">
        <f t="shared" si="9"/>
        <v>1.1541</v>
      </c>
    </row>
    <row r="48" spans="4:16" ht="18" customHeight="1">
      <c r="D48" s="100">
        <v>160</v>
      </c>
      <c r="E48" s="101">
        <v>3.1275</v>
      </c>
      <c r="F48" s="102">
        <v>21</v>
      </c>
      <c r="G48" s="102">
        <v>3</v>
      </c>
      <c r="H48" s="103">
        <f t="shared" si="0"/>
        <v>0</v>
      </c>
      <c r="I48" s="103">
        <f t="shared" si="1"/>
        <v>0</v>
      </c>
      <c r="J48" s="104">
        <f t="shared" si="2"/>
        <v>7</v>
      </c>
      <c r="K48" s="101">
        <f t="shared" si="3"/>
        <v>1.1666666666666667</v>
      </c>
      <c r="L48" s="101">
        <v>3.5</v>
      </c>
      <c r="M48" s="101">
        <f t="shared" si="8"/>
        <v>7.7941666666666665</v>
      </c>
      <c r="N48" s="105">
        <f t="shared" si="5"/>
        <v>1.0779416666666666</v>
      </c>
      <c r="O48" s="101">
        <f t="shared" si="6"/>
        <v>1.07</v>
      </c>
      <c r="P48" s="106">
        <f t="shared" si="9"/>
        <v>1.1534</v>
      </c>
    </row>
    <row r="49" spans="4:16" ht="18" customHeight="1">
      <c r="D49" s="100">
        <v>165</v>
      </c>
      <c r="E49" s="101">
        <v>3.0669</v>
      </c>
      <c r="F49" s="102">
        <v>21</v>
      </c>
      <c r="G49" s="102">
        <v>3</v>
      </c>
      <c r="H49" s="103">
        <f t="shared" si="0"/>
        <v>0</v>
      </c>
      <c r="I49" s="103">
        <f t="shared" si="1"/>
        <v>0</v>
      </c>
      <c r="J49" s="104">
        <f t="shared" si="2"/>
        <v>7</v>
      </c>
      <c r="K49" s="101">
        <f t="shared" si="3"/>
        <v>1.1666666666666667</v>
      </c>
      <c r="L49" s="101">
        <v>3.5</v>
      </c>
      <c r="M49" s="101">
        <f t="shared" si="8"/>
        <v>7.7335666666666665</v>
      </c>
      <c r="N49" s="105">
        <f t="shared" si="5"/>
        <v>1.0773356666666667</v>
      </c>
      <c r="O49" s="101">
        <f t="shared" si="6"/>
        <v>1.07</v>
      </c>
      <c r="P49" s="106">
        <f t="shared" si="9"/>
        <v>1.1527</v>
      </c>
    </row>
    <row r="50" spans="4:16" ht="18" customHeight="1">
      <c r="D50" s="100">
        <v>170</v>
      </c>
      <c r="E50" s="101">
        <v>3.0098</v>
      </c>
      <c r="F50" s="102">
        <v>21</v>
      </c>
      <c r="G50" s="102">
        <v>3</v>
      </c>
      <c r="H50" s="103">
        <f t="shared" si="0"/>
        <v>0</v>
      </c>
      <c r="I50" s="103">
        <f t="shared" si="1"/>
        <v>0</v>
      </c>
      <c r="J50" s="104">
        <f t="shared" si="2"/>
        <v>7</v>
      </c>
      <c r="K50" s="101">
        <f t="shared" si="3"/>
        <v>1.1666666666666667</v>
      </c>
      <c r="L50" s="101">
        <v>3.5</v>
      </c>
      <c r="M50" s="101">
        <f t="shared" si="8"/>
        <v>7.676466666666666</v>
      </c>
      <c r="N50" s="105">
        <f t="shared" si="5"/>
        <v>1.0767646666666666</v>
      </c>
      <c r="O50" s="101">
        <f t="shared" si="6"/>
        <v>1.07</v>
      </c>
      <c r="P50" s="106">
        <f t="shared" si="9"/>
        <v>1.1521</v>
      </c>
    </row>
    <row r="51" spans="4:16" ht="18" customHeight="1">
      <c r="D51" s="100">
        <v>175</v>
      </c>
      <c r="E51" s="101">
        <v>2.956</v>
      </c>
      <c r="F51" s="102">
        <v>21</v>
      </c>
      <c r="G51" s="102">
        <v>3</v>
      </c>
      <c r="H51" s="103">
        <f t="shared" si="0"/>
        <v>0</v>
      </c>
      <c r="I51" s="103">
        <f t="shared" si="1"/>
        <v>0</v>
      </c>
      <c r="J51" s="104">
        <f t="shared" si="2"/>
        <v>7</v>
      </c>
      <c r="K51" s="101">
        <f t="shared" si="3"/>
        <v>1.1666666666666667</v>
      </c>
      <c r="L51" s="101">
        <v>3.5</v>
      </c>
      <c r="M51" s="101">
        <f t="shared" si="8"/>
        <v>7.6226666666666665</v>
      </c>
      <c r="N51" s="105">
        <f t="shared" si="5"/>
        <v>1.0762266666666667</v>
      </c>
      <c r="O51" s="101">
        <f t="shared" si="6"/>
        <v>1.07</v>
      </c>
      <c r="P51" s="106">
        <f t="shared" si="9"/>
        <v>1.1516</v>
      </c>
    </row>
    <row r="52" spans="4:16" ht="18" customHeight="1">
      <c r="D52" s="100">
        <v>180</v>
      </c>
      <c r="E52" s="101">
        <v>2.9052</v>
      </c>
      <c r="F52" s="102">
        <v>21</v>
      </c>
      <c r="G52" s="102">
        <v>3</v>
      </c>
      <c r="H52" s="103">
        <f t="shared" si="0"/>
        <v>0</v>
      </c>
      <c r="I52" s="103">
        <f t="shared" si="1"/>
        <v>0</v>
      </c>
      <c r="J52" s="104">
        <f t="shared" si="2"/>
        <v>7</v>
      </c>
      <c r="K52" s="101">
        <f t="shared" si="3"/>
        <v>1.1666666666666667</v>
      </c>
      <c r="L52" s="101">
        <v>3.5</v>
      </c>
      <c r="M52" s="101">
        <f t="shared" si="8"/>
        <v>7.571866666666667</v>
      </c>
      <c r="N52" s="105">
        <f t="shared" si="5"/>
        <v>1.0757186666666667</v>
      </c>
      <c r="O52" s="101">
        <f t="shared" si="6"/>
        <v>1.07</v>
      </c>
      <c r="P52" s="106">
        <f t="shared" si="9"/>
        <v>1.151</v>
      </c>
    </row>
    <row r="53" spans="4:16" ht="18" customHeight="1">
      <c r="D53" s="100">
        <v>185</v>
      </c>
      <c r="E53" s="101">
        <v>2.8572</v>
      </c>
      <c r="F53" s="102">
        <v>21</v>
      </c>
      <c r="G53" s="102">
        <v>3</v>
      </c>
      <c r="H53" s="103">
        <f t="shared" si="0"/>
        <v>0</v>
      </c>
      <c r="I53" s="103">
        <f t="shared" si="1"/>
        <v>0</v>
      </c>
      <c r="J53" s="104">
        <f t="shared" si="2"/>
        <v>7</v>
      </c>
      <c r="K53" s="101">
        <f t="shared" si="3"/>
        <v>1.1666666666666667</v>
      </c>
      <c r="L53" s="101">
        <v>3.5</v>
      </c>
      <c r="M53" s="101">
        <f t="shared" si="8"/>
        <v>7.523866666666667</v>
      </c>
      <c r="N53" s="105">
        <f t="shared" si="5"/>
        <v>1.0752386666666667</v>
      </c>
      <c r="O53" s="101">
        <f t="shared" si="6"/>
        <v>1.07</v>
      </c>
      <c r="P53" s="106">
        <f t="shared" si="9"/>
        <v>1.1505</v>
      </c>
    </row>
    <row r="54" spans="4:16" ht="18" customHeight="1">
      <c r="D54" s="100">
        <v>190</v>
      </c>
      <c r="E54" s="101">
        <v>2.8116</v>
      </c>
      <c r="F54" s="102">
        <v>21</v>
      </c>
      <c r="G54" s="102">
        <v>3</v>
      </c>
      <c r="H54" s="103">
        <f t="shared" si="0"/>
        <v>0</v>
      </c>
      <c r="I54" s="103">
        <f t="shared" si="1"/>
        <v>0</v>
      </c>
      <c r="J54" s="104">
        <f t="shared" si="2"/>
        <v>7</v>
      </c>
      <c r="K54" s="101">
        <f t="shared" si="3"/>
        <v>1.1666666666666667</v>
      </c>
      <c r="L54" s="101">
        <v>3.5</v>
      </c>
      <c r="M54" s="101">
        <f t="shared" si="8"/>
        <v>7.478266666666666</v>
      </c>
      <c r="N54" s="105">
        <f t="shared" si="5"/>
        <v>1.0747826666666667</v>
      </c>
      <c r="O54" s="101">
        <f t="shared" si="6"/>
        <v>1.07</v>
      </c>
      <c r="P54" s="106">
        <f t="shared" si="9"/>
        <v>1.15</v>
      </c>
    </row>
    <row r="55" spans="4:16" ht="18" customHeight="1">
      <c r="D55" s="100">
        <v>195</v>
      </c>
      <c r="E55" s="101">
        <v>2.7684</v>
      </c>
      <c r="F55" s="102">
        <v>21</v>
      </c>
      <c r="G55" s="102">
        <v>3</v>
      </c>
      <c r="H55" s="103">
        <f t="shared" si="0"/>
        <v>0</v>
      </c>
      <c r="I55" s="103">
        <f t="shared" si="1"/>
        <v>0</v>
      </c>
      <c r="J55" s="104">
        <f t="shared" si="2"/>
        <v>7</v>
      </c>
      <c r="K55" s="101">
        <f t="shared" si="3"/>
        <v>1.1666666666666667</v>
      </c>
      <c r="L55" s="101">
        <v>3.5</v>
      </c>
      <c r="M55" s="101">
        <f t="shared" si="8"/>
        <v>7.435066666666667</v>
      </c>
      <c r="N55" s="105">
        <f t="shared" si="5"/>
        <v>1.0743506666666667</v>
      </c>
      <c r="O55" s="101">
        <f t="shared" si="6"/>
        <v>1.07</v>
      </c>
      <c r="P55" s="106">
        <f t="shared" si="9"/>
        <v>1.1496</v>
      </c>
    </row>
    <row r="56" spans="4:16" ht="18" customHeight="1" hidden="1">
      <c r="D56" s="100">
        <v>200</v>
      </c>
      <c r="E56" s="101">
        <v>2.7274</v>
      </c>
      <c r="F56" s="102">
        <v>21</v>
      </c>
      <c r="G56" s="102">
        <v>3</v>
      </c>
      <c r="H56" s="103">
        <f t="shared" si="0"/>
        <v>0</v>
      </c>
      <c r="I56" s="103">
        <f t="shared" si="1"/>
        <v>0</v>
      </c>
      <c r="J56" s="104">
        <f t="shared" si="2"/>
        <v>7</v>
      </c>
      <c r="K56" s="101">
        <f t="shared" si="3"/>
        <v>1.1666666666666667</v>
      </c>
      <c r="L56" s="101">
        <v>3.5</v>
      </c>
      <c r="M56" s="101">
        <f t="shared" si="8"/>
        <v>7.394066666666666</v>
      </c>
      <c r="N56" s="105">
        <f t="shared" si="5"/>
        <v>1.0739406666666667</v>
      </c>
      <c r="O56" s="101">
        <f t="shared" si="6"/>
        <v>1.07</v>
      </c>
      <c r="P56" s="106">
        <f t="shared" si="9"/>
        <v>1.1491</v>
      </c>
    </row>
    <row r="57" spans="4:16" ht="18" customHeight="1" thickBot="1">
      <c r="D57" s="107" t="s">
        <v>153</v>
      </c>
      <c r="E57" s="108">
        <v>2.7274</v>
      </c>
      <c r="F57" s="109">
        <v>21</v>
      </c>
      <c r="G57" s="109">
        <v>3</v>
      </c>
      <c r="H57" s="110">
        <f t="shared" si="0"/>
        <v>0</v>
      </c>
      <c r="I57" s="110">
        <f t="shared" si="1"/>
        <v>0</v>
      </c>
      <c r="J57" s="111">
        <f t="shared" si="2"/>
        <v>7</v>
      </c>
      <c r="K57" s="108">
        <f t="shared" si="3"/>
        <v>1.1666666666666667</v>
      </c>
      <c r="L57" s="108">
        <v>3.5</v>
      </c>
      <c r="M57" s="108">
        <f t="shared" si="8"/>
        <v>7.394066666666666</v>
      </c>
      <c r="N57" s="112">
        <f t="shared" si="5"/>
        <v>1.0739406666666667</v>
      </c>
      <c r="O57" s="108">
        <f t="shared" si="6"/>
        <v>1.07</v>
      </c>
      <c r="P57" s="113">
        <f t="shared" si="9"/>
        <v>1.1491</v>
      </c>
    </row>
    <row r="58" spans="4:16" ht="19.5">
      <c r="D58" s="26" t="s">
        <v>146</v>
      </c>
      <c r="E58" s="27" t="s">
        <v>147</v>
      </c>
      <c r="F58" s="26"/>
      <c r="G58" s="26"/>
      <c r="H58" s="26"/>
      <c r="I58" s="26"/>
      <c r="J58" s="26"/>
      <c r="K58" s="27"/>
      <c r="L58" s="27"/>
      <c r="M58" s="27"/>
      <c r="N58" s="26"/>
      <c r="O58" s="26"/>
      <c r="P58" s="26"/>
    </row>
    <row r="59" spans="4:16" ht="20.25">
      <c r="D59" s="26"/>
      <c r="E59" s="27" t="s">
        <v>148</v>
      </c>
      <c r="F59" s="26"/>
      <c r="G59" s="26"/>
      <c r="H59" s="26"/>
      <c r="I59" s="26"/>
      <c r="J59" s="26"/>
      <c r="K59" s="27"/>
      <c r="L59" s="27"/>
      <c r="M59" s="27"/>
      <c r="N59" s="26"/>
      <c r="O59" s="26"/>
      <c r="P59" s="26"/>
    </row>
  </sheetData>
  <sheetProtection password="87BD" sheet="1" objects="1" scenarios="1" selectLockedCells="1"/>
  <mergeCells count="14">
    <mergeCell ref="D9:P9"/>
    <mergeCell ref="D14:D15"/>
    <mergeCell ref="E14:M14"/>
    <mergeCell ref="N14:N15"/>
    <mergeCell ref="O14:O15"/>
    <mergeCell ref="P14:P15"/>
    <mergeCell ref="N4:O4"/>
    <mergeCell ref="N5:O5"/>
    <mergeCell ref="L5:M5"/>
    <mergeCell ref="L4:M4"/>
    <mergeCell ref="K2:P2"/>
    <mergeCell ref="D8:P8"/>
    <mergeCell ref="D6:E6"/>
    <mergeCell ref="N6:O6"/>
  </mergeCells>
  <dataValidations count="5">
    <dataValidation type="list" allowBlank="1" showInputMessage="1" showErrorMessage="1" sqref="O11">
      <formula1>$T$21:$T$23</formula1>
    </dataValidation>
    <dataValidation type="list" allowBlank="1" showInputMessage="1" showErrorMessage="1" sqref="K11">
      <formula1>$S$20:$S$23</formula1>
    </dataValidation>
    <dataValidation type="decimal" operator="greaterThanOrEqual" allowBlank="1" showInputMessage="1" showErrorMessage="1" promptTitle="ค่างานต้นทุน" prompt="ใส่ค่างานต้นทุน (ค่าวัสดุ+ค่าแรง)&#10;ซึ่งยังไม่รวมค่า ภาษี กำไร ค่าดำเนินการ" errorTitle="ค่างานต้นทุน" error="ใส่ตัวเลขเท่านั้นครับ" sqref="N4:O4">
      <formula1>0</formula1>
    </dataValidation>
    <dataValidation type="list" allowBlank="1" showInputMessage="1" showErrorMessage="1" sqref="K12">
      <formula1>$S$20:$S$22</formula1>
    </dataValidation>
    <dataValidation type="list" allowBlank="1" showInputMessage="1" showErrorMessage="1" sqref="O12">
      <formula1>$U$20:$U$21</formula1>
    </dataValidation>
  </dataValidations>
  <hyperlinks>
    <hyperlink ref="D6" r:id="rId1" display="www.yotathai.net"/>
    <hyperlink ref="D6:E6" r:id="rId2" display="www.yotathai.net"/>
  </hyperlinks>
  <printOptions horizontalCentered="1"/>
  <pageMargins left="0.5118110236220472" right="0.2755905511811024" top="0.2755905511811024" bottom="0" header="0.35433070866141736" footer="0.31496062992125984"/>
  <pageSetup blackAndWhite="1" horizontalDpi="300" verticalDpi="300" orientation="portrait" paperSize="9" scale="90" r:id="rId4"/>
  <headerFooter>
    <oddFooter>&amp;Rwww.yotathai.net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>
    <tabColor theme="1"/>
  </sheetPr>
  <dimension ref="A2:W23"/>
  <sheetViews>
    <sheetView showGridLines="0" showRowColHeaders="0" zoomScalePageLayoutView="0" workbookViewId="0" topLeftCell="A1">
      <selection activeCell="L5" sqref="L5:M5"/>
    </sheetView>
  </sheetViews>
  <sheetFormatPr defaultColWidth="9.140625" defaultRowHeight="12.75"/>
  <cols>
    <col min="1" max="1" width="5.8515625" style="73" customWidth="1"/>
    <col min="2" max="2" width="15.00390625" style="73" customWidth="1"/>
    <col min="3" max="3" width="17.00390625" style="73" customWidth="1"/>
    <col min="4" max="4" width="3.7109375" style="73" customWidth="1"/>
    <col min="5" max="5" width="17.140625" style="73" customWidth="1"/>
    <col min="6" max="6" width="14.421875" style="73" customWidth="1"/>
    <col min="7" max="7" width="14.57421875" style="73" customWidth="1"/>
    <col min="8" max="8" width="3.57421875" style="73" customWidth="1"/>
    <col min="9" max="22" width="9.140625" style="73" customWidth="1"/>
    <col min="23" max="23" width="9.140625" style="73" hidden="1" customWidth="1"/>
    <col min="24" max="16384" width="9.140625" style="73" customWidth="1"/>
  </cols>
  <sheetData>
    <row r="2" spans="1:23" ht="24">
      <c r="A2" s="742" t="str">
        <f>"รายการคำนวณเทียบอัตราส่วนเพื่อหา Factor F งานก่อสร้าง"&amp;IF(W2=1,W3,IF(W2=2,W4,IF(W2=3,W5,W6)))</f>
        <v>รายการคำนวณเทียบอัตราส่วนเพื่อหา Factor F งานก่อสร้างอาคาร</v>
      </c>
      <c r="B2" s="742"/>
      <c r="C2" s="742"/>
      <c r="D2" s="742"/>
      <c r="E2" s="742"/>
      <c r="F2" s="742"/>
      <c r="G2" s="742"/>
      <c r="W2" s="73">
        <f>IF(L5="อาคาร",1,IF(L5="ทาง",2,IF(L5="ชลประทาน",3,IF(L5="สะพานและท่อเหลี่ยม",4))))</f>
        <v>1</v>
      </c>
    </row>
    <row r="3" spans="1:23" ht="19.5">
      <c r="A3" s="743" t="s">
        <v>96</v>
      </c>
      <c r="B3" s="743"/>
      <c r="C3" s="743"/>
      <c r="D3" s="743"/>
      <c r="E3" s="743"/>
      <c r="F3" s="743"/>
      <c r="G3" s="743"/>
      <c r="I3" s="153"/>
      <c r="J3" s="745" t="s">
        <v>166</v>
      </c>
      <c r="K3" s="746"/>
      <c r="L3" s="746"/>
      <c r="M3" s="746"/>
      <c r="N3" s="746"/>
      <c r="O3" s="747"/>
      <c r="P3" s="160"/>
      <c r="W3" s="73" t="s">
        <v>117</v>
      </c>
    </row>
    <row r="4" spans="1:23" ht="20.25">
      <c r="A4" s="74" t="s">
        <v>110</v>
      </c>
      <c r="I4" s="153"/>
      <c r="J4" s="152"/>
      <c r="K4" s="153"/>
      <c r="L4" s="153"/>
      <c r="M4" s="153"/>
      <c r="N4" s="153"/>
      <c r="O4" s="154"/>
      <c r="P4" s="153"/>
      <c r="W4" s="73" t="s">
        <v>118</v>
      </c>
    </row>
    <row r="5" spans="1:23" ht="19.5">
      <c r="A5" s="75"/>
      <c r="B5" s="75" t="s">
        <v>168</v>
      </c>
      <c r="C5" s="73" t="s">
        <v>102</v>
      </c>
      <c r="E5" s="76"/>
      <c r="I5" s="153"/>
      <c r="J5" s="152"/>
      <c r="K5" s="158"/>
      <c r="L5" s="744" t="s">
        <v>117</v>
      </c>
      <c r="M5" s="744"/>
      <c r="N5" s="159"/>
      <c r="O5" s="154"/>
      <c r="P5" s="153"/>
      <c r="W5" s="73" t="s">
        <v>119</v>
      </c>
    </row>
    <row r="6" spans="2:23" ht="20.25">
      <c r="B6" s="75" t="s">
        <v>104</v>
      </c>
      <c r="C6" s="73" t="s">
        <v>112</v>
      </c>
      <c r="E6" s="76"/>
      <c r="I6" s="153"/>
      <c r="J6" s="155"/>
      <c r="K6" s="156"/>
      <c r="L6" s="156"/>
      <c r="M6" s="156"/>
      <c r="N6" s="156"/>
      <c r="O6" s="157"/>
      <c r="P6" s="153"/>
      <c r="W6" s="73" t="s">
        <v>128</v>
      </c>
    </row>
    <row r="7" spans="3:16" ht="19.5">
      <c r="C7" s="73" t="s">
        <v>169</v>
      </c>
      <c r="E7" s="76"/>
      <c r="I7" s="153"/>
      <c r="J7" s="153"/>
      <c r="K7" s="153"/>
      <c r="L7" s="153"/>
      <c r="M7" s="153"/>
      <c r="N7" s="153"/>
      <c r="O7" s="153"/>
      <c r="P7" s="153"/>
    </row>
    <row r="8" spans="2:9" ht="20.25">
      <c r="B8" s="75" t="s">
        <v>105</v>
      </c>
      <c r="C8" s="73" t="s">
        <v>113</v>
      </c>
      <c r="E8" s="76"/>
      <c r="I8" s="87" t="s">
        <v>123</v>
      </c>
    </row>
    <row r="9" spans="2:10" ht="19.5">
      <c r="B9" s="75"/>
      <c r="C9" s="73" t="s">
        <v>169</v>
      </c>
      <c r="E9" s="76"/>
      <c r="J9" s="73" t="s">
        <v>126</v>
      </c>
    </row>
    <row r="10" spans="2:9" ht="20.25">
      <c r="B10" s="75" t="s">
        <v>106</v>
      </c>
      <c r="C10" s="73" t="s">
        <v>114</v>
      </c>
      <c r="E10" s="76"/>
      <c r="I10" s="73" t="s">
        <v>124</v>
      </c>
    </row>
    <row r="11" spans="2:9" ht="19.5">
      <c r="B11" s="75"/>
      <c r="C11" s="73" t="s">
        <v>103</v>
      </c>
      <c r="E11" s="76"/>
      <c r="I11" s="73" t="s">
        <v>125</v>
      </c>
    </row>
    <row r="12" spans="2:9" ht="20.25">
      <c r="B12" s="75" t="s">
        <v>107</v>
      </c>
      <c r="C12" s="73" t="s">
        <v>115</v>
      </c>
      <c r="I12" s="73" t="s">
        <v>167</v>
      </c>
    </row>
    <row r="13" spans="3:9" ht="19.5">
      <c r="C13" s="73" t="s">
        <v>103</v>
      </c>
      <c r="I13" s="161" t="s">
        <v>127</v>
      </c>
    </row>
    <row r="14" ht="20.25">
      <c r="A14" s="74" t="s">
        <v>98</v>
      </c>
    </row>
    <row r="15" spans="2:9" ht="20.25">
      <c r="B15" s="73" t="s">
        <v>108</v>
      </c>
      <c r="E15" s="77">
        <f>IF(W2=1,F_อาคาร!N4,IF(W2=2,F_ทาง!M4,IF(W2=3,F_ชลประทาน!M4,IF(W2=4,F_สะพานและท่อเหลี่ยม!N4))))</f>
        <v>77474.85999999999</v>
      </c>
      <c r="F15" s="78" t="s">
        <v>172</v>
      </c>
      <c r="I15" s="74" t="s">
        <v>109</v>
      </c>
    </row>
    <row r="16" spans="2:10" ht="19.5">
      <c r="B16" s="73" t="s">
        <v>170</v>
      </c>
      <c r="E16" s="79" t="e">
        <f>IF(W2=1,F_อาคาร!T7*1000000,IF(W2=2,F_ทาง!AA17*1000000,IF(W2=3,F_ชลประทาน!AA17*1000000,IF(W2=4,F_สะพานและท่อเหลี่ยม!T15*1000000))))</f>
        <v>#N/A</v>
      </c>
      <c r="F16" s="78" t="s">
        <v>173</v>
      </c>
      <c r="I16" s="75" t="s">
        <v>97</v>
      </c>
      <c r="J16" s="73" t="e">
        <f>FIXED(E18,4)&amp;" - {("&amp;FIXED(E18,4)&amp;" - "&amp;FIXED(E19,4)&amp;") x ("&amp;FIXED(E15,2)&amp;" - "&amp;FIXED(E16,0)&amp;") / ("&amp;FIXED(E17,0)&amp;" - "&amp;FIXED(E16,0)&amp;")}"</f>
        <v>#N/A</v>
      </c>
    </row>
    <row r="17" spans="2:9" ht="20.25">
      <c r="B17" s="73" t="s">
        <v>171</v>
      </c>
      <c r="E17" s="77" t="e">
        <f>IF(W2=1,F_อาคาร!T10*1000000,IF(W2=2,F_ทาง!AA20*1000000,IF(W2=3,F_ชลประทาน!AA20*1000000,IF(W2=4,F_สะพานและท่อเหลี่ยม!T18*1000000))))</f>
        <v>#N/A</v>
      </c>
      <c r="F17" s="78" t="s">
        <v>174</v>
      </c>
      <c r="I17" s="82" t="s">
        <v>116</v>
      </c>
    </row>
    <row r="18" spans="2:10" ht="20.25">
      <c r="B18" s="73" t="s">
        <v>177</v>
      </c>
      <c r="E18" s="80" t="e">
        <f>IF(W2=1,F_อาคาร!U7,IF(W2=2,F_ทาง!AB17,IF(W2=3,F_ชลประทาน!AB17,IF(W2=4,F_สะพานและท่อเหลี่ยม!U15))))</f>
        <v>#N/A</v>
      </c>
      <c r="F18" s="78" t="s">
        <v>175</v>
      </c>
      <c r="I18" s="75" t="s">
        <v>97</v>
      </c>
      <c r="J18" s="81" t="e">
        <f>E18-((E18-E19)*(E15-E16)/(E17-E16))</f>
        <v>#N/A</v>
      </c>
    </row>
    <row r="19" spans="2:6" ht="19.5">
      <c r="B19" s="73" t="s">
        <v>178</v>
      </c>
      <c r="E19" s="80" t="e">
        <f>IF(W2=1,F_อาคาร!U10,IF(W2=2,F_ทาง!AB20,IF(W2=3,F_ชลประทาน!AB20,IF(W2=4,F_สะพานและท่อเหลี่ยม!U18))))</f>
        <v>#N/A</v>
      </c>
      <c r="F19" s="78" t="s">
        <v>176</v>
      </c>
    </row>
    <row r="20" ht="20.25">
      <c r="A20" s="74" t="s">
        <v>109</v>
      </c>
    </row>
    <row r="21" spans="1:2" ht="19.5">
      <c r="A21" s="75" t="s">
        <v>97</v>
      </c>
      <c r="B21" s="73" t="e">
        <f>FIXED(E18,4)&amp;" - {("&amp;FIXED(E18,4)&amp;" - "&amp;FIXED(E19,4)&amp;") x ("&amp;FIXED(E15,2)&amp;" - "&amp;FIXED(E16,0)&amp;") / ("&amp;FIXED(E17,0)&amp;" - "&amp;FIXED(E16,0)&amp;")}"</f>
        <v>#N/A</v>
      </c>
    </row>
    <row r="22" ht="20.25">
      <c r="A22" s="82" t="s">
        <v>116</v>
      </c>
    </row>
    <row r="23" spans="1:2" ht="20.25">
      <c r="A23" s="75" t="s">
        <v>97</v>
      </c>
      <c r="B23" s="81" t="e">
        <f>E18-((E18-E19)*(E15-E16)/(E17-E16))</f>
        <v>#N/A</v>
      </c>
    </row>
  </sheetData>
  <sheetProtection password="87BD" sheet="1" objects="1" scenarios="1" selectLockedCells="1"/>
  <mergeCells count="4">
    <mergeCell ref="A2:G2"/>
    <mergeCell ref="A3:G3"/>
    <mergeCell ref="L5:M5"/>
    <mergeCell ref="J3:O3"/>
  </mergeCells>
  <dataValidations count="1">
    <dataValidation type="list" allowBlank="1" showInputMessage="1" showErrorMessage="1" sqref="L5:M5">
      <formula1>$W$3:$W$6</formula1>
    </dataValidation>
  </dataValidations>
  <printOptions/>
  <pageMargins left="0.79" right="0.37" top="0.39" bottom="0.47" header="0.3" footer="0.3"/>
  <pageSetup orientation="portrait" paperSize="9" r:id="rId1"/>
  <headerFooter>
    <oddFooter>&amp;Rwww.yotathai.net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1"/>
  <sheetViews>
    <sheetView showGridLines="0" zoomScaleSheetLayoutView="100" workbookViewId="0" topLeftCell="A1">
      <selection activeCell="H13" sqref="H13"/>
    </sheetView>
  </sheetViews>
  <sheetFormatPr defaultColWidth="9.140625" defaultRowHeight="21.75" customHeight="1"/>
  <cols>
    <col min="1" max="1" width="6.28125" style="351" customWidth="1"/>
    <col min="2" max="2" width="24.28125" style="351" customWidth="1"/>
    <col min="3" max="3" width="24.00390625" style="351" customWidth="1"/>
    <col min="4" max="4" width="9.28125" style="351" customWidth="1"/>
    <col min="5" max="5" width="7.8515625" style="351" customWidth="1"/>
    <col min="6" max="9" width="10.7109375" style="351" customWidth="1"/>
    <col min="10" max="10" width="13.57421875" style="351" customWidth="1"/>
    <col min="11" max="11" width="10.00390625" style="351" customWidth="1"/>
    <col min="12" max="16384" width="9.140625" style="351" customWidth="1"/>
  </cols>
  <sheetData>
    <row r="1" spans="1:11" ht="22.5" customHeight="1">
      <c r="A1" s="592" t="s">
        <v>668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</row>
    <row r="2" spans="1:11" ht="21.75" customHeight="1">
      <c r="A2" s="593" t="s">
        <v>669</v>
      </c>
      <c r="B2" s="593"/>
      <c r="C2" s="554" t="str">
        <f>ข้อมูลโครงการ!I15</f>
        <v>กองช่างองค์การบริหารส่วนตำบลหนองโพ</v>
      </c>
      <c r="D2" s="380"/>
      <c r="E2" s="380"/>
      <c r="F2" s="381"/>
      <c r="G2" s="381"/>
      <c r="H2" s="381"/>
      <c r="I2" s="381"/>
      <c r="J2" s="381"/>
      <c r="K2" s="451" t="s">
        <v>785</v>
      </c>
    </row>
    <row r="3" spans="1:11" ht="21.75" customHeight="1">
      <c r="A3" s="594" t="s">
        <v>670</v>
      </c>
      <c r="B3" s="594"/>
      <c r="C3" s="382" t="str">
        <f>ข้อมูลโครงการ!I10</f>
        <v>ก่อสร้างศาลานั่งพักริมทางภายในหมู่บ้านหมู่ที่ 8 </v>
      </c>
      <c r="D3" s="382"/>
      <c r="E3" s="382"/>
      <c r="F3" s="381"/>
      <c r="G3" s="381"/>
      <c r="H3" s="381"/>
      <c r="I3" s="381"/>
      <c r="J3" s="381"/>
      <c r="K3" s="380"/>
    </row>
    <row r="4" spans="1:11" ht="21.75" customHeight="1">
      <c r="A4" s="594" t="s">
        <v>180</v>
      </c>
      <c r="B4" s="594"/>
      <c r="C4" s="382" t="str">
        <f>ข้อมูลโครงการ!I12</f>
        <v>บริเวณศาลาอเนกประสงค์หมู่ที่ 8</v>
      </c>
      <c r="D4" s="382"/>
      <c r="E4" s="382"/>
      <c r="F4" s="383"/>
      <c r="G4" s="381"/>
      <c r="H4" s="381"/>
      <c r="I4" s="381"/>
      <c r="J4" s="381"/>
      <c r="K4" s="380"/>
    </row>
    <row r="5" spans="1:11" ht="21.75" customHeight="1">
      <c r="A5" s="595" t="s">
        <v>751</v>
      </c>
      <c r="B5" s="595"/>
      <c r="C5" s="557" t="str">
        <f>ข้อมูลโครงการ!I11</f>
        <v>องค์การบริหารส่วนตำบลหนองโพ</v>
      </c>
      <c r="D5" s="384"/>
      <c r="E5" s="384"/>
      <c r="F5" s="384"/>
      <c r="G5" s="384"/>
      <c r="H5" s="384"/>
      <c r="I5" s="384"/>
      <c r="J5" s="384"/>
      <c r="K5" s="353"/>
    </row>
    <row r="6" spans="1:11" ht="21.75" customHeight="1">
      <c r="A6" s="595" t="s">
        <v>671</v>
      </c>
      <c r="B6" s="595"/>
      <c r="C6" s="584" t="str">
        <f>ข้อมูลโครงการ!A68</f>
        <v>นางสาวสุนันทา อ่างหิรัญ</v>
      </c>
      <c r="D6" s="584"/>
      <c r="E6" s="385"/>
      <c r="F6" s="386" t="s">
        <v>182</v>
      </c>
      <c r="G6" s="609">
        <f>ข้อมูลโครงการ!M56</f>
        <v>42948</v>
      </c>
      <c r="H6" s="609"/>
      <c r="I6" s="609"/>
      <c r="J6" s="386"/>
      <c r="K6" s="388"/>
    </row>
    <row r="7" spans="1:11" ht="21.75" customHeight="1" thickBot="1">
      <c r="A7" s="610"/>
      <c r="B7" s="610"/>
      <c r="C7" s="389"/>
      <c r="D7" s="610"/>
      <c r="E7" s="610"/>
      <c r="F7" s="610"/>
      <c r="G7" s="585"/>
      <c r="H7" s="585"/>
      <c r="I7" s="585"/>
      <c r="J7" s="585"/>
      <c r="K7" s="390" t="s">
        <v>183</v>
      </c>
    </row>
    <row r="8" spans="1:11" ht="21.75" customHeight="1" thickTop="1">
      <c r="A8" s="586" t="s">
        <v>184</v>
      </c>
      <c r="B8" s="588" t="s">
        <v>185</v>
      </c>
      <c r="C8" s="589"/>
      <c r="D8" s="586" t="s">
        <v>186</v>
      </c>
      <c r="E8" s="586" t="s">
        <v>187</v>
      </c>
      <c r="F8" s="604" t="s">
        <v>672</v>
      </c>
      <c r="G8" s="605"/>
      <c r="H8" s="604" t="s">
        <v>673</v>
      </c>
      <c r="I8" s="605"/>
      <c r="J8" s="391" t="s">
        <v>36</v>
      </c>
      <c r="K8" s="586" t="s">
        <v>146</v>
      </c>
    </row>
    <row r="9" spans="1:11" ht="21.75" customHeight="1" thickBot="1">
      <c r="A9" s="587"/>
      <c r="B9" s="590"/>
      <c r="C9" s="591"/>
      <c r="D9" s="587"/>
      <c r="E9" s="587"/>
      <c r="F9" s="392" t="s">
        <v>674</v>
      </c>
      <c r="G9" s="392" t="s">
        <v>188</v>
      </c>
      <c r="H9" s="392" t="s">
        <v>674</v>
      </c>
      <c r="I9" s="392" t="s">
        <v>188</v>
      </c>
      <c r="J9" s="392" t="s">
        <v>675</v>
      </c>
      <c r="K9" s="587"/>
    </row>
    <row r="10" spans="1:11" ht="21.75" customHeight="1" thickTop="1">
      <c r="A10" s="393">
        <v>1</v>
      </c>
      <c r="B10" s="602" t="s">
        <v>688</v>
      </c>
      <c r="C10" s="603"/>
      <c r="D10" s="412"/>
      <c r="E10" s="412"/>
      <c r="F10" s="412"/>
      <c r="G10" s="412"/>
      <c r="H10" s="412"/>
      <c r="I10" s="412"/>
      <c r="J10" s="421"/>
      <c r="K10" s="394"/>
    </row>
    <row r="11" spans="1:11" ht="21.75" customHeight="1">
      <c r="A11" s="395"/>
      <c r="B11" s="598" t="s">
        <v>783</v>
      </c>
      <c r="C11" s="599"/>
      <c r="D11" s="436">
        <f>1*1*1*4</f>
        <v>4</v>
      </c>
      <c r="E11" s="417" t="s">
        <v>189</v>
      </c>
      <c r="F11" s="413"/>
      <c r="G11" s="413">
        <f>D11*F11</f>
        <v>0</v>
      </c>
      <c r="H11" s="419">
        <v>96</v>
      </c>
      <c r="I11" s="413">
        <f>D11*H11</f>
        <v>384</v>
      </c>
      <c r="J11" s="423">
        <f>ROUNDDOWN(I11+G11,2)</f>
        <v>384</v>
      </c>
      <c r="K11" s="396"/>
    </row>
    <row r="12" spans="1:11" ht="21.75" customHeight="1">
      <c r="A12" s="395"/>
      <c r="B12" s="598" t="s">
        <v>762</v>
      </c>
      <c r="C12" s="599"/>
      <c r="D12" s="436">
        <v>8</v>
      </c>
      <c r="E12" s="417" t="s">
        <v>189</v>
      </c>
      <c r="F12" s="413">
        <v>327</v>
      </c>
      <c r="G12" s="413">
        <f aca="true" t="shared" si="0" ref="G12:G20">D12*F12</f>
        <v>2616</v>
      </c>
      <c r="H12" s="419">
        <v>64</v>
      </c>
      <c r="I12" s="413">
        <f aca="true" t="shared" si="1" ref="I12:I22">D12*H12</f>
        <v>512</v>
      </c>
      <c r="J12" s="423">
        <f>ROUNDDOWN(I12+G12,2)</f>
        <v>3128</v>
      </c>
      <c r="K12" s="396"/>
    </row>
    <row r="13" spans="1:11" ht="21.75" customHeight="1">
      <c r="A13" s="395"/>
      <c r="B13" s="598" t="s">
        <v>759</v>
      </c>
      <c r="C13" s="599"/>
      <c r="D13" s="436">
        <f>D12</f>
        <v>8</v>
      </c>
      <c r="E13" s="417" t="s">
        <v>189</v>
      </c>
      <c r="F13" s="413">
        <v>1304</v>
      </c>
      <c r="G13" s="413">
        <f t="shared" si="0"/>
        <v>10432</v>
      </c>
      <c r="H13" s="419">
        <v>276</v>
      </c>
      <c r="I13" s="413">
        <f t="shared" si="1"/>
        <v>2208</v>
      </c>
      <c r="J13" s="423">
        <f>ROUNDDOWN(I13+G13,2)</f>
        <v>12640</v>
      </c>
      <c r="K13" s="396"/>
    </row>
    <row r="14" spans="1:11" ht="21.75" customHeight="1">
      <c r="A14" s="397"/>
      <c r="B14" s="600" t="s">
        <v>764</v>
      </c>
      <c r="C14" s="601"/>
      <c r="D14" s="437">
        <v>6.5</v>
      </c>
      <c r="E14" s="418" t="s">
        <v>348</v>
      </c>
      <c r="F14" s="414">
        <v>400</v>
      </c>
      <c r="G14" s="413">
        <f t="shared" si="0"/>
        <v>2600</v>
      </c>
      <c r="H14" s="420"/>
      <c r="I14" s="413">
        <f t="shared" si="1"/>
        <v>0</v>
      </c>
      <c r="J14" s="423">
        <f>ROUNDDOWN(I14+G14,2)</f>
        <v>2600</v>
      </c>
      <c r="K14" s="396"/>
    </row>
    <row r="15" spans="1:11" ht="21.75" customHeight="1">
      <c r="A15" s="397"/>
      <c r="B15" s="600" t="s">
        <v>763</v>
      </c>
      <c r="C15" s="601"/>
      <c r="D15" s="437">
        <v>5.2</v>
      </c>
      <c r="E15" s="418" t="s">
        <v>190</v>
      </c>
      <c r="F15" s="425"/>
      <c r="G15" s="413">
        <f t="shared" si="0"/>
        <v>0</v>
      </c>
      <c r="H15" s="425">
        <v>105</v>
      </c>
      <c r="I15" s="413">
        <f t="shared" si="1"/>
        <v>546</v>
      </c>
      <c r="J15" s="423">
        <f aca="true" t="shared" si="2" ref="J15:J23">ROUNDDOWN(I15+G15,2)</f>
        <v>546</v>
      </c>
      <c r="K15" s="396"/>
    </row>
    <row r="16" spans="1:11" ht="21.75" customHeight="1">
      <c r="A16" s="397"/>
      <c r="B16" s="410" t="s">
        <v>761</v>
      </c>
      <c r="C16" s="422"/>
      <c r="D16" s="436">
        <f>5*5</f>
        <v>25</v>
      </c>
      <c r="E16" s="417" t="s">
        <v>190</v>
      </c>
      <c r="F16" s="425">
        <v>31</v>
      </c>
      <c r="G16" s="413">
        <f t="shared" si="0"/>
        <v>775</v>
      </c>
      <c r="H16" s="425">
        <v>5</v>
      </c>
      <c r="I16" s="413">
        <f t="shared" si="1"/>
        <v>125</v>
      </c>
      <c r="J16" s="423">
        <f t="shared" si="2"/>
        <v>900</v>
      </c>
      <c r="K16" s="396"/>
    </row>
    <row r="17" spans="1:11" ht="21.75" customHeight="1">
      <c r="A17" s="397"/>
      <c r="B17" s="410" t="s">
        <v>760</v>
      </c>
      <c r="C17" s="422"/>
      <c r="D17" s="436">
        <f>D16*0.1</f>
        <v>2.5</v>
      </c>
      <c r="E17" s="417" t="s">
        <v>189</v>
      </c>
      <c r="F17" s="425">
        <v>1728</v>
      </c>
      <c r="G17" s="413">
        <f t="shared" si="0"/>
        <v>4320</v>
      </c>
      <c r="H17" s="425">
        <v>276</v>
      </c>
      <c r="I17" s="413">
        <f t="shared" si="1"/>
        <v>690</v>
      </c>
      <c r="J17" s="423">
        <f t="shared" si="2"/>
        <v>5010</v>
      </c>
      <c r="K17" s="396"/>
    </row>
    <row r="18" spans="1:11" ht="21.75" customHeight="1">
      <c r="A18" s="397"/>
      <c r="B18" s="410" t="s">
        <v>765</v>
      </c>
      <c r="C18" s="411"/>
      <c r="D18" s="436">
        <v>4</v>
      </c>
      <c r="E18" s="417" t="s">
        <v>191</v>
      </c>
      <c r="F18" s="425">
        <v>420</v>
      </c>
      <c r="G18" s="413">
        <f t="shared" si="0"/>
        <v>1680</v>
      </c>
      <c r="H18" s="425"/>
      <c r="I18" s="413">
        <f t="shared" si="1"/>
        <v>0</v>
      </c>
      <c r="J18" s="423">
        <f t="shared" si="2"/>
        <v>1680</v>
      </c>
      <c r="K18" s="396"/>
    </row>
    <row r="19" spans="1:11" ht="21.75" customHeight="1">
      <c r="A19" s="397"/>
      <c r="B19" s="410" t="s">
        <v>766</v>
      </c>
      <c r="C19" s="411"/>
      <c r="D19" s="436">
        <v>12</v>
      </c>
      <c r="E19" s="417" t="s">
        <v>758</v>
      </c>
      <c r="F19" s="425">
        <v>249</v>
      </c>
      <c r="G19" s="413">
        <f t="shared" si="0"/>
        <v>2988</v>
      </c>
      <c r="H19" s="425"/>
      <c r="I19" s="413">
        <f t="shared" si="1"/>
        <v>0</v>
      </c>
      <c r="J19" s="423">
        <f t="shared" si="2"/>
        <v>2988</v>
      </c>
      <c r="K19" s="396"/>
    </row>
    <row r="20" spans="1:11" ht="21.75" customHeight="1">
      <c r="A20" s="397"/>
      <c r="B20" s="410" t="s">
        <v>767</v>
      </c>
      <c r="C20" s="411"/>
      <c r="D20" s="436">
        <v>7</v>
      </c>
      <c r="E20" s="417" t="s">
        <v>758</v>
      </c>
      <c r="F20" s="425">
        <v>621</v>
      </c>
      <c r="G20" s="413">
        <f t="shared" si="0"/>
        <v>4347</v>
      </c>
      <c r="H20" s="425"/>
      <c r="I20" s="413">
        <f t="shared" si="1"/>
        <v>0</v>
      </c>
      <c r="J20" s="423">
        <f t="shared" si="2"/>
        <v>4347</v>
      </c>
      <c r="K20" s="396"/>
    </row>
    <row r="21" spans="1:11" ht="21.75" customHeight="1">
      <c r="A21" s="397"/>
      <c r="B21" s="422" t="s">
        <v>784</v>
      </c>
      <c r="C21" s="422"/>
      <c r="D21" s="436">
        <f>(D19*8.04)+(D20*20.04)</f>
        <v>236.76</v>
      </c>
      <c r="E21" s="417" t="s">
        <v>201</v>
      </c>
      <c r="F21" s="425"/>
      <c r="G21" s="413"/>
      <c r="H21" s="425">
        <v>8.5</v>
      </c>
      <c r="I21" s="413">
        <f t="shared" si="1"/>
        <v>2012.46</v>
      </c>
      <c r="J21" s="423">
        <f t="shared" si="2"/>
        <v>2012.46</v>
      </c>
      <c r="K21" s="396"/>
    </row>
    <row r="22" spans="1:11" ht="21.75" customHeight="1">
      <c r="A22" s="397"/>
      <c r="B22" s="598"/>
      <c r="C22" s="611"/>
      <c r="D22" s="425"/>
      <c r="E22" s="433"/>
      <c r="F22" s="425"/>
      <c r="G22" s="432"/>
      <c r="H22" s="425"/>
      <c r="I22" s="413">
        <f t="shared" si="1"/>
        <v>0</v>
      </c>
      <c r="J22" s="423">
        <f t="shared" si="2"/>
        <v>0</v>
      </c>
      <c r="K22" s="396"/>
    </row>
    <row r="23" spans="1:11" ht="21.75" customHeight="1">
      <c r="A23" s="398"/>
      <c r="B23" s="612"/>
      <c r="C23" s="613"/>
      <c r="D23" s="434"/>
      <c r="E23" s="434"/>
      <c r="F23" s="434"/>
      <c r="G23" s="432"/>
      <c r="H23" s="434"/>
      <c r="I23" s="425"/>
      <c r="J23" s="423">
        <f t="shared" si="2"/>
        <v>0</v>
      </c>
      <c r="K23" s="399"/>
    </row>
    <row r="24" spans="1:11" ht="21.75" customHeight="1">
      <c r="A24" s="400"/>
      <c r="B24" s="596" t="s">
        <v>676</v>
      </c>
      <c r="C24" s="597"/>
      <c r="D24" s="427"/>
      <c r="E24" s="428"/>
      <c r="F24" s="429"/>
      <c r="G24" s="429"/>
      <c r="H24" s="429"/>
      <c r="I24" s="430"/>
      <c r="J24" s="431">
        <f>SUM(J11:J23)</f>
        <v>36235.46</v>
      </c>
      <c r="K24" s="401"/>
    </row>
    <row r="25" spans="1:11" ht="21.75" customHeight="1">
      <c r="A25" s="402"/>
      <c r="B25" s="403"/>
      <c r="C25" s="403"/>
      <c r="D25" s="402"/>
      <c r="E25" s="404"/>
      <c r="F25" s="405"/>
      <c r="G25" s="405"/>
      <c r="H25" s="405"/>
      <c r="I25" s="406"/>
      <c r="J25" s="407"/>
      <c r="K25" s="408"/>
    </row>
    <row r="26" spans="1:11" ht="21.75" customHeight="1">
      <c r="A26" s="592" t="s">
        <v>668</v>
      </c>
      <c r="B26" s="592"/>
      <c r="C26" s="592"/>
      <c r="D26" s="592"/>
      <c r="E26" s="592"/>
      <c r="F26" s="592"/>
      <c r="G26" s="592"/>
      <c r="H26" s="592"/>
      <c r="I26" s="592"/>
      <c r="J26" s="592"/>
      <c r="K26" s="592"/>
    </row>
    <row r="27" spans="1:11" ht="21.75" customHeight="1">
      <c r="A27" s="593" t="s">
        <v>669</v>
      </c>
      <c r="B27" s="593"/>
      <c r="C27" s="554" t="str">
        <f>C2</f>
        <v>กองช่างองค์การบริหารส่วนตำบลหนองโพ</v>
      </c>
      <c r="D27" s="380"/>
      <c r="E27" s="380"/>
      <c r="F27" s="381"/>
      <c r="G27" s="381"/>
      <c r="H27" s="381"/>
      <c r="I27" s="381"/>
      <c r="J27" s="381"/>
      <c r="K27" s="380"/>
    </row>
    <row r="28" spans="1:11" ht="21.75" customHeight="1">
      <c r="A28" s="594" t="s">
        <v>670</v>
      </c>
      <c r="B28" s="594"/>
      <c r="C28" s="382" t="str">
        <f>C3</f>
        <v>ก่อสร้างศาลานั่งพักริมทางภายในหมู่บ้านหมู่ที่ 8 </v>
      </c>
      <c r="D28" s="382"/>
      <c r="E28" s="382"/>
      <c r="F28" s="381"/>
      <c r="G28" s="381"/>
      <c r="H28" s="381"/>
      <c r="I28" s="381"/>
      <c r="J28" s="381"/>
      <c r="K28" s="380"/>
    </row>
    <row r="29" spans="1:11" ht="21.75" customHeight="1">
      <c r="A29" s="594" t="s">
        <v>180</v>
      </c>
      <c r="B29" s="594"/>
      <c r="C29" s="382" t="str">
        <f>C4</f>
        <v>บริเวณศาลาอเนกประสงค์หมู่ที่ 8</v>
      </c>
      <c r="D29" s="382"/>
      <c r="E29" s="382"/>
      <c r="F29" s="383"/>
      <c r="G29" s="381"/>
      <c r="H29" s="381"/>
      <c r="I29" s="381"/>
      <c r="J29" s="381"/>
      <c r="K29" s="380"/>
    </row>
    <row r="30" spans="1:11" ht="21.75" customHeight="1">
      <c r="A30" s="595" t="s">
        <v>751</v>
      </c>
      <c r="B30" s="595"/>
      <c r="C30" s="384" t="str">
        <f>C5</f>
        <v>องค์การบริหารส่วนตำบลหนองโพ</v>
      </c>
      <c r="D30" s="384"/>
      <c r="E30" s="384">
        <f>E5</f>
        <v>0</v>
      </c>
      <c r="F30" s="384"/>
      <c r="G30" s="384"/>
      <c r="H30" s="384"/>
      <c r="I30" s="384"/>
      <c r="J30" s="384"/>
      <c r="K30" s="353"/>
    </row>
    <row r="31" spans="1:11" ht="21.75" customHeight="1">
      <c r="A31" s="595" t="s">
        <v>671</v>
      </c>
      <c r="B31" s="595"/>
      <c r="C31" s="584" t="str">
        <f>C6</f>
        <v>นางสาวสุนันทา อ่างหิรัญ</v>
      </c>
      <c r="D31" s="584"/>
      <c r="E31" s="385"/>
      <c r="F31" s="386" t="s">
        <v>182</v>
      </c>
      <c r="G31" s="609">
        <f>G6</f>
        <v>42948</v>
      </c>
      <c r="H31" s="609"/>
      <c r="I31" s="387"/>
      <c r="J31" s="386"/>
      <c r="K31" s="388"/>
    </row>
    <row r="32" spans="1:11" ht="21.75" customHeight="1" thickBot="1">
      <c r="A32" s="441"/>
      <c r="B32" s="441"/>
      <c r="C32" s="442"/>
      <c r="D32" s="443"/>
      <c r="E32" s="444"/>
      <c r="F32" s="445"/>
      <c r="G32" s="446"/>
      <c r="H32" s="445"/>
      <c r="I32" s="446"/>
      <c r="J32" s="445"/>
      <c r="K32" s="447"/>
    </row>
    <row r="33" spans="1:11" ht="21.75" customHeight="1" thickTop="1">
      <c r="A33" s="586" t="s">
        <v>184</v>
      </c>
      <c r="B33" s="588" t="s">
        <v>185</v>
      </c>
      <c r="C33" s="589"/>
      <c r="D33" s="586" t="s">
        <v>186</v>
      </c>
      <c r="E33" s="586" t="s">
        <v>187</v>
      </c>
      <c r="F33" s="604" t="s">
        <v>672</v>
      </c>
      <c r="G33" s="605"/>
      <c r="H33" s="604" t="s">
        <v>673</v>
      </c>
      <c r="I33" s="605"/>
      <c r="J33" s="391" t="s">
        <v>36</v>
      </c>
      <c r="K33" s="586" t="s">
        <v>146</v>
      </c>
    </row>
    <row r="34" spans="1:11" ht="21.75" customHeight="1" thickBot="1">
      <c r="A34" s="587"/>
      <c r="B34" s="590"/>
      <c r="C34" s="591"/>
      <c r="D34" s="587"/>
      <c r="E34" s="587"/>
      <c r="F34" s="392" t="s">
        <v>674</v>
      </c>
      <c r="G34" s="392" t="s">
        <v>188</v>
      </c>
      <c r="H34" s="392" t="s">
        <v>674</v>
      </c>
      <c r="I34" s="392" t="s">
        <v>188</v>
      </c>
      <c r="J34" s="392" t="s">
        <v>675</v>
      </c>
      <c r="K34" s="587"/>
    </row>
    <row r="35" spans="1:11" ht="21.75" customHeight="1" thickTop="1">
      <c r="A35" s="393">
        <v>2</v>
      </c>
      <c r="B35" s="602" t="s">
        <v>699</v>
      </c>
      <c r="C35" s="606"/>
      <c r="D35" s="394"/>
      <c r="E35" s="394"/>
      <c r="F35" s="394"/>
      <c r="G35" s="394"/>
      <c r="H35" s="394"/>
      <c r="I35" s="394"/>
      <c r="J35" s="396">
        <f aca="true" t="shared" si="3" ref="J35:J49">ROUNDDOWN(I35+G35,2)</f>
        <v>0</v>
      </c>
      <c r="K35" s="394"/>
    </row>
    <row r="36" spans="1:11" ht="21.75" customHeight="1">
      <c r="A36" s="395"/>
      <c r="B36" s="410" t="s">
        <v>768</v>
      </c>
      <c r="C36" s="411"/>
      <c r="D36" s="436">
        <v>80</v>
      </c>
      <c r="E36" s="417" t="s">
        <v>294</v>
      </c>
      <c r="F36" s="413">
        <v>50.94</v>
      </c>
      <c r="G36" s="413">
        <f aca="true" t="shared" si="4" ref="G36:G49">D36*F36</f>
        <v>4075.2</v>
      </c>
      <c r="H36" s="419"/>
      <c r="I36" s="415">
        <f aca="true" t="shared" si="5" ref="I36:I49">D36*H36</f>
        <v>0</v>
      </c>
      <c r="J36" s="425">
        <f t="shared" si="3"/>
        <v>4075.2</v>
      </c>
      <c r="K36" s="396"/>
    </row>
    <row r="37" spans="1:11" ht="21.75" customHeight="1">
      <c r="A37" s="395"/>
      <c r="B37" s="598" t="s">
        <v>769</v>
      </c>
      <c r="C37" s="599"/>
      <c r="D37" s="436">
        <v>32</v>
      </c>
      <c r="E37" s="417" t="s">
        <v>190</v>
      </c>
      <c r="F37" s="414"/>
      <c r="G37" s="414">
        <f t="shared" si="4"/>
        <v>0</v>
      </c>
      <c r="H37" s="420">
        <v>104</v>
      </c>
      <c r="I37" s="416">
        <f t="shared" si="5"/>
        <v>3328</v>
      </c>
      <c r="J37" s="425">
        <f t="shared" si="3"/>
        <v>3328</v>
      </c>
      <c r="K37" s="396"/>
    </row>
    <row r="38" spans="1:11" ht="21.75" customHeight="1">
      <c r="A38" s="397"/>
      <c r="B38" s="598" t="s">
        <v>770</v>
      </c>
      <c r="C38" s="599"/>
      <c r="D38" s="436">
        <v>30</v>
      </c>
      <c r="E38" s="417" t="s">
        <v>294</v>
      </c>
      <c r="F38" s="414">
        <v>41.12</v>
      </c>
      <c r="G38" s="414">
        <f t="shared" si="4"/>
        <v>1233.6</v>
      </c>
      <c r="H38" s="420"/>
      <c r="I38" s="416">
        <f t="shared" si="5"/>
        <v>0</v>
      </c>
      <c r="J38" s="425">
        <f t="shared" si="3"/>
        <v>1233.6</v>
      </c>
      <c r="K38" s="396"/>
    </row>
    <row r="39" spans="1:11" ht="21.75" customHeight="1">
      <c r="A39" s="397"/>
      <c r="B39" s="598" t="s">
        <v>771</v>
      </c>
      <c r="C39" s="599"/>
      <c r="D39" s="436">
        <f>32*4</f>
        <v>128</v>
      </c>
      <c r="E39" s="417" t="s">
        <v>781</v>
      </c>
      <c r="F39" s="425">
        <v>2.8</v>
      </c>
      <c r="G39" s="414">
        <f t="shared" si="4"/>
        <v>358.4</v>
      </c>
      <c r="H39" s="425"/>
      <c r="I39" s="416">
        <f t="shared" si="5"/>
        <v>0</v>
      </c>
      <c r="J39" s="425">
        <f t="shared" si="3"/>
        <v>358.4</v>
      </c>
      <c r="K39" s="396"/>
    </row>
    <row r="40" spans="1:11" ht="21.75" customHeight="1">
      <c r="A40" s="397"/>
      <c r="B40" s="598" t="s">
        <v>772</v>
      </c>
      <c r="C40" s="599"/>
      <c r="D40" s="436">
        <f>(D19*2.4)+(D20*2.04)</f>
        <v>43.08</v>
      </c>
      <c r="E40" s="417" t="s">
        <v>190</v>
      </c>
      <c r="F40" s="425">
        <v>35</v>
      </c>
      <c r="G40" s="414">
        <f t="shared" si="4"/>
        <v>1507.8</v>
      </c>
      <c r="H40" s="425">
        <v>30</v>
      </c>
      <c r="I40" s="416">
        <f t="shared" si="5"/>
        <v>1292.3999999999999</v>
      </c>
      <c r="J40" s="425">
        <f t="shared" si="3"/>
        <v>2800.2</v>
      </c>
      <c r="K40" s="396"/>
    </row>
    <row r="41" spans="1:11" ht="21.75" customHeight="1">
      <c r="A41" s="397"/>
      <c r="B41" s="438" t="s">
        <v>773</v>
      </c>
      <c r="C41" s="438"/>
      <c r="D41" s="448">
        <v>20</v>
      </c>
      <c r="E41" s="417" t="s">
        <v>782</v>
      </c>
      <c r="F41" s="425">
        <v>150</v>
      </c>
      <c r="G41" s="414">
        <f t="shared" si="4"/>
        <v>3000</v>
      </c>
      <c r="H41" s="425"/>
      <c r="I41" s="416">
        <f t="shared" si="5"/>
        <v>0</v>
      </c>
      <c r="J41" s="425">
        <f t="shared" si="3"/>
        <v>3000</v>
      </c>
      <c r="K41" s="399"/>
    </row>
    <row r="42" spans="1:11" ht="21.75" customHeight="1">
      <c r="A42" s="397"/>
      <c r="B42" s="438" t="s">
        <v>774</v>
      </c>
      <c r="C42" s="438"/>
      <c r="D42" s="448">
        <f>D41</f>
        <v>20</v>
      </c>
      <c r="E42" s="417" t="s">
        <v>782</v>
      </c>
      <c r="F42" s="425">
        <v>150</v>
      </c>
      <c r="G42" s="414">
        <f t="shared" si="4"/>
        <v>3000</v>
      </c>
      <c r="H42" s="425"/>
      <c r="I42" s="416">
        <f t="shared" si="5"/>
        <v>0</v>
      </c>
      <c r="J42" s="425">
        <f t="shared" si="3"/>
        <v>3000</v>
      </c>
      <c r="K42" s="424"/>
    </row>
    <row r="43" spans="1:11" ht="21.75" customHeight="1">
      <c r="A43" s="397"/>
      <c r="B43" s="410" t="s">
        <v>775</v>
      </c>
      <c r="C43" s="438"/>
      <c r="D43" s="448">
        <v>32</v>
      </c>
      <c r="E43" s="417" t="s">
        <v>190</v>
      </c>
      <c r="F43" s="425">
        <v>362</v>
      </c>
      <c r="G43" s="414">
        <f t="shared" si="4"/>
        <v>11584</v>
      </c>
      <c r="H43" s="425">
        <v>80</v>
      </c>
      <c r="I43" s="416">
        <f t="shared" si="5"/>
        <v>2560</v>
      </c>
      <c r="J43" s="425">
        <f t="shared" si="3"/>
        <v>14144</v>
      </c>
      <c r="K43" s="424"/>
    </row>
    <row r="44" spans="1:11" ht="21.75" customHeight="1">
      <c r="A44" s="397"/>
      <c r="B44" s="435" t="s">
        <v>776</v>
      </c>
      <c r="C44" s="438"/>
      <c r="D44" s="449">
        <v>45</v>
      </c>
      <c r="E44" s="418" t="s">
        <v>782</v>
      </c>
      <c r="F44" s="425">
        <v>12</v>
      </c>
      <c r="G44" s="414">
        <f t="shared" si="4"/>
        <v>540</v>
      </c>
      <c r="H44" s="425">
        <v>35</v>
      </c>
      <c r="I44" s="416">
        <f t="shared" si="5"/>
        <v>1575</v>
      </c>
      <c r="J44" s="425">
        <f t="shared" si="3"/>
        <v>2115</v>
      </c>
      <c r="K44" s="424"/>
    </row>
    <row r="45" spans="1:11" ht="21.75" customHeight="1">
      <c r="A45" s="397"/>
      <c r="B45" s="598" t="s">
        <v>777</v>
      </c>
      <c r="C45" s="599"/>
      <c r="D45" s="448">
        <v>32</v>
      </c>
      <c r="E45" s="417" t="s">
        <v>190</v>
      </c>
      <c r="F45" s="425">
        <v>35</v>
      </c>
      <c r="G45" s="414">
        <f t="shared" si="4"/>
        <v>1120</v>
      </c>
      <c r="H45" s="425">
        <v>30</v>
      </c>
      <c r="I45" s="416">
        <f t="shared" si="5"/>
        <v>960</v>
      </c>
      <c r="J45" s="425">
        <f t="shared" si="3"/>
        <v>2080</v>
      </c>
      <c r="K45" s="424"/>
    </row>
    <row r="46" spans="1:11" ht="21.75" customHeight="1">
      <c r="A46" s="397"/>
      <c r="B46" s="410" t="s">
        <v>778</v>
      </c>
      <c r="C46" s="438"/>
      <c r="D46" s="448">
        <f>2.25</f>
        <v>2.25</v>
      </c>
      <c r="E46" s="417" t="s">
        <v>190</v>
      </c>
      <c r="F46" s="425">
        <v>178</v>
      </c>
      <c r="G46" s="414">
        <f t="shared" si="4"/>
        <v>400.5</v>
      </c>
      <c r="H46" s="425">
        <v>60</v>
      </c>
      <c r="I46" s="416">
        <f t="shared" si="5"/>
        <v>135</v>
      </c>
      <c r="J46" s="425">
        <f t="shared" si="3"/>
        <v>535.5</v>
      </c>
      <c r="K46" s="424"/>
    </row>
    <row r="47" spans="1:11" ht="21.75" customHeight="1">
      <c r="A47" s="397"/>
      <c r="B47" s="410" t="s">
        <v>779</v>
      </c>
      <c r="C47" s="438"/>
      <c r="D47" s="448">
        <f>9*0.5</f>
        <v>4.5</v>
      </c>
      <c r="E47" s="417" t="s">
        <v>190</v>
      </c>
      <c r="F47" s="425">
        <v>220</v>
      </c>
      <c r="G47" s="414">
        <f t="shared" si="4"/>
        <v>990</v>
      </c>
      <c r="H47" s="425">
        <v>25</v>
      </c>
      <c r="I47" s="416">
        <f t="shared" si="5"/>
        <v>112.5</v>
      </c>
      <c r="J47" s="425">
        <f t="shared" si="3"/>
        <v>1102.5</v>
      </c>
      <c r="K47" s="424"/>
    </row>
    <row r="48" spans="1:11" ht="21.75" customHeight="1">
      <c r="A48" s="398"/>
      <c r="B48" s="410" t="s">
        <v>780</v>
      </c>
      <c r="C48" s="440"/>
      <c r="D48" s="448">
        <v>7</v>
      </c>
      <c r="E48" s="417" t="s">
        <v>190</v>
      </c>
      <c r="F48" s="434">
        <v>301</v>
      </c>
      <c r="G48" s="414">
        <f t="shared" si="4"/>
        <v>2107</v>
      </c>
      <c r="H48" s="434">
        <v>120</v>
      </c>
      <c r="I48" s="416">
        <f t="shared" si="5"/>
        <v>840</v>
      </c>
      <c r="J48" s="425">
        <f t="shared" si="3"/>
        <v>2947</v>
      </c>
      <c r="K48" s="424"/>
    </row>
    <row r="49" spans="1:11" ht="21.75" customHeight="1">
      <c r="A49" s="439"/>
      <c r="B49" s="607" t="s">
        <v>777</v>
      </c>
      <c r="C49" s="608"/>
      <c r="D49" s="448">
        <v>8</v>
      </c>
      <c r="E49" s="450" t="s">
        <v>190</v>
      </c>
      <c r="F49" s="426">
        <v>35</v>
      </c>
      <c r="G49" s="414">
        <f t="shared" si="4"/>
        <v>280</v>
      </c>
      <c r="H49" s="426">
        <v>30</v>
      </c>
      <c r="I49" s="416">
        <f t="shared" si="5"/>
        <v>240</v>
      </c>
      <c r="J49" s="425">
        <f t="shared" si="3"/>
        <v>520</v>
      </c>
      <c r="K49" s="424"/>
    </row>
    <row r="50" spans="1:11" ht="21.75" customHeight="1">
      <c r="A50" s="400"/>
      <c r="B50" s="596" t="s">
        <v>676</v>
      </c>
      <c r="C50" s="597"/>
      <c r="D50" s="427"/>
      <c r="E50" s="428"/>
      <c r="F50" s="429"/>
      <c r="G50" s="429"/>
      <c r="H50" s="429"/>
      <c r="I50" s="430"/>
      <c r="J50" s="431">
        <f>SUM(J35:J49)</f>
        <v>41239.399999999994</v>
      </c>
      <c r="K50" s="401"/>
    </row>
    <row r="51" spans="1:11" ht="21.75" customHeight="1">
      <c r="A51" s="402"/>
      <c r="B51" s="403"/>
      <c r="C51" s="403"/>
      <c r="D51" s="402"/>
      <c r="E51" s="404"/>
      <c r="F51" s="405"/>
      <c r="G51" s="405"/>
      <c r="H51" s="405"/>
      <c r="I51" s="406"/>
      <c r="J51" s="407"/>
      <c r="K51" s="408"/>
    </row>
  </sheetData>
  <sheetProtection/>
  <mergeCells count="51">
    <mergeCell ref="G31:H31"/>
    <mergeCell ref="D7:F7"/>
    <mergeCell ref="A7:B7"/>
    <mergeCell ref="B45:C45"/>
    <mergeCell ref="B39:C39"/>
    <mergeCell ref="H33:I33"/>
    <mergeCell ref="A26:K26"/>
    <mergeCell ref="B22:C22"/>
    <mergeCell ref="B23:C23"/>
    <mergeCell ref="B49:C49"/>
    <mergeCell ref="B11:C11"/>
    <mergeCell ref="B12:C12"/>
    <mergeCell ref="B40:C40"/>
    <mergeCell ref="A27:B27"/>
    <mergeCell ref="A28:B28"/>
    <mergeCell ref="A29:B29"/>
    <mergeCell ref="A30:B30"/>
    <mergeCell ref="A31:B31"/>
    <mergeCell ref="C31:D31"/>
    <mergeCell ref="B50:C50"/>
    <mergeCell ref="B38:C38"/>
    <mergeCell ref="K33:K34"/>
    <mergeCell ref="B35:C35"/>
    <mergeCell ref="B37:C37"/>
    <mergeCell ref="A33:A34"/>
    <mergeCell ref="B33:C34"/>
    <mergeCell ref="D33:D34"/>
    <mergeCell ref="E33:E34"/>
    <mergeCell ref="F33:G33"/>
    <mergeCell ref="B24:C24"/>
    <mergeCell ref="B13:C13"/>
    <mergeCell ref="B14:C14"/>
    <mergeCell ref="B15:C15"/>
    <mergeCell ref="K8:K9"/>
    <mergeCell ref="B10:C10"/>
    <mergeCell ref="F8:G8"/>
    <mergeCell ref="H8:I8"/>
    <mergeCell ref="E8:E9"/>
    <mergeCell ref="A1:K1"/>
    <mergeCell ref="A2:B2"/>
    <mergeCell ref="A3:B3"/>
    <mergeCell ref="A4:B4"/>
    <mergeCell ref="A5:B5"/>
    <mergeCell ref="A6:B6"/>
    <mergeCell ref="G6:I6"/>
    <mergeCell ref="C6:D6"/>
    <mergeCell ref="G7:H7"/>
    <mergeCell ref="A8:A9"/>
    <mergeCell ref="B8:C9"/>
    <mergeCell ref="D8:D9"/>
    <mergeCell ref="I7:J7"/>
  </mergeCells>
  <printOptions horizontalCentered="1"/>
  <pageMargins left="0.3937007874015748" right="0.11811023622047245" top="0.5905511811023623" bottom="0.31496062992125984" header="0.3937007874015748" footer="0.15748031496062992"/>
  <pageSetup horizontalDpi="600" verticalDpi="600" orientation="landscape" paperSize="9" r:id="rId2"/>
  <headerFooter>
    <oddHeader>&amp;Rแบบ ปร.4 แผ่นที่  &amp;P /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S2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140625" style="163" customWidth="1"/>
    <col min="2" max="2" width="123.140625" style="163" customWidth="1"/>
    <col min="3" max="3" width="9.57421875" style="163" bestFit="1" customWidth="1"/>
    <col min="4" max="10" width="9.140625" style="163" customWidth="1"/>
    <col min="11" max="11" width="12.421875" style="163" customWidth="1"/>
    <col min="12" max="12" width="6.28125" style="163" customWidth="1"/>
    <col min="13" max="16384" width="9.140625" style="163" customWidth="1"/>
  </cols>
  <sheetData>
    <row r="1" ht="22.5">
      <c r="B1" s="162"/>
    </row>
    <row r="3" ht="296.25">
      <c r="B3" s="164" t="s">
        <v>667</v>
      </c>
    </row>
    <row r="4" ht="22.5">
      <c r="B4" s="165"/>
    </row>
    <row r="5" ht="22.5">
      <c r="B5" s="165"/>
    </row>
    <row r="6" spans="2:19" ht="32.25" customHeight="1">
      <c r="B6" s="614"/>
      <c r="C6" s="615"/>
      <c r="D6" s="615"/>
      <c r="E6" s="615"/>
      <c r="F6" s="615"/>
      <c r="G6" s="615"/>
      <c r="H6" s="615"/>
      <c r="I6" s="615"/>
      <c r="J6" s="615"/>
      <c r="K6" s="615"/>
      <c r="L6" s="615"/>
      <c r="M6" s="166"/>
      <c r="N6" s="166"/>
      <c r="O6" s="166"/>
      <c r="P6" s="166"/>
      <c r="Q6" s="166"/>
      <c r="R6" s="166"/>
      <c r="S6" s="166"/>
    </row>
    <row r="7" spans="2:19" ht="22.5" customHeight="1">
      <c r="B7" s="167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</row>
    <row r="8" ht="23.25" customHeight="1"/>
    <row r="9" ht="23.25" customHeight="1"/>
    <row r="10" ht="23.25" customHeight="1"/>
    <row r="11" ht="23.25" customHeight="1"/>
    <row r="12" ht="23.25" customHeight="1">
      <c r="C12" s="168"/>
    </row>
    <row r="13" ht="23.25" customHeight="1">
      <c r="C13" s="168"/>
    </row>
    <row r="14" ht="23.25" customHeight="1">
      <c r="C14" s="168"/>
    </row>
    <row r="15" ht="23.25" customHeight="1">
      <c r="C15" s="168"/>
    </row>
    <row r="16" ht="23.25" customHeight="1">
      <c r="C16" s="168"/>
    </row>
    <row r="17" ht="23.25" customHeight="1">
      <c r="C17" s="168"/>
    </row>
    <row r="18" spans="3:9" ht="23.25" customHeight="1">
      <c r="C18" s="169"/>
      <c r="D18" s="170"/>
      <c r="E18" s="170"/>
      <c r="F18" s="170"/>
      <c r="G18" s="170"/>
      <c r="H18" s="170"/>
      <c r="I18" s="170"/>
    </row>
    <row r="19" ht="23.25" customHeight="1">
      <c r="C19" s="168"/>
    </row>
    <row r="20" ht="23.25" customHeight="1">
      <c r="C20" s="168"/>
    </row>
    <row r="21" ht="23.25" customHeight="1">
      <c r="C21" s="168"/>
    </row>
    <row r="22" ht="23.25" customHeight="1">
      <c r="C22" s="168"/>
    </row>
    <row r="23" ht="23.25" customHeight="1">
      <c r="C23" s="168"/>
    </row>
    <row r="24" ht="23.25" customHeight="1">
      <c r="C24" s="168"/>
    </row>
    <row r="25" ht="23.25" customHeight="1"/>
    <row r="26" ht="23.25" customHeight="1"/>
    <row r="27" ht="23.25" customHeight="1">
      <c r="B27" s="171"/>
    </row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</sheetData>
  <sheetProtection/>
  <mergeCells count="1">
    <mergeCell ref="B6:L6"/>
  </mergeCells>
  <printOptions horizontalCentered="1"/>
  <pageMargins left="0.9055118110236221" right="0.35433070866141736" top="0.7874015748031497" bottom="0.5905511811023623" header="0.31496062992125984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V39"/>
  <sheetViews>
    <sheetView showGridLines="0" tabSelected="1" zoomScaleSheetLayoutView="100" zoomScalePageLayoutView="0" workbookViewId="0" topLeftCell="A1">
      <selection activeCell="Y5" sqref="Y5"/>
    </sheetView>
  </sheetViews>
  <sheetFormatPr defaultColWidth="9.140625" defaultRowHeight="21.75" customHeight="1"/>
  <cols>
    <col min="1" max="1" width="7.57421875" style="351" customWidth="1"/>
    <col min="2" max="5" width="4.8515625" style="351" customWidth="1"/>
    <col min="6" max="6" width="7.421875" style="351" customWidth="1"/>
    <col min="7" max="9" width="4.8515625" style="351" customWidth="1"/>
    <col min="10" max="10" width="2.7109375" style="351" customWidth="1"/>
    <col min="11" max="13" width="3.28125" style="351" customWidth="1"/>
    <col min="14" max="14" width="2.421875" style="351" customWidth="1"/>
    <col min="15" max="17" width="3.28125" style="351" customWidth="1"/>
    <col min="18" max="19" width="4.140625" style="351" customWidth="1"/>
    <col min="20" max="20" width="3.57421875" style="351" customWidth="1"/>
    <col min="21" max="21" width="6.00390625" style="351" customWidth="1"/>
    <col min="22" max="22" width="4.140625" style="351" customWidth="1"/>
    <col min="23" max="16384" width="9.140625" style="351" customWidth="1"/>
  </cols>
  <sheetData>
    <row r="1" spans="20:22" ht="21.75" customHeight="1">
      <c r="T1" s="619" t="s">
        <v>786</v>
      </c>
      <c r="U1" s="619"/>
      <c r="V1" s="619"/>
    </row>
    <row r="2" spans="1:22" ht="21.75" customHeight="1">
      <c r="A2" s="616" t="s">
        <v>689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</row>
    <row r="3" spans="1:22" ht="21.75" customHeight="1">
      <c r="A3" s="617" t="s">
        <v>669</v>
      </c>
      <c r="B3" s="617"/>
      <c r="C3" s="617"/>
      <c r="D3" s="374"/>
      <c r="E3" s="556" t="str">
        <f>'ปร.4 '!C2</f>
        <v>กองช่างองค์การบริหารส่วนตำบลหนองโพ</v>
      </c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</row>
    <row r="4" spans="1:22" ht="21.75" customHeight="1">
      <c r="A4" s="618" t="s">
        <v>670</v>
      </c>
      <c r="B4" s="618"/>
      <c r="C4" s="618"/>
      <c r="D4" s="618"/>
      <c r="E4" s="352" t="str">
        <f>ข้อมูลโครงการ!I10</f>
        <v>ก่อสร้างศาลานั่งพักริมทางภายในหมู่บ้านหมู่ที่ 8 </v>
      </c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</row>
    <row r="5" spans="1:22" ht="21.75" customHeight="1">
      <c r="A5" s="618" t="s">
        <v>180</v>
      </c>
      <c r="B5" s="618"/>
      <c r="C5" s="618"/>
      <c r="D5" s="353"/>
      <c r="E5" s="409" t="str">
        <f>ข้อมูลโครงการ!I12</f>
        <v>บริเวณศาลาอเนกประสงค์หมู่ที่ 8</v>
      </c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</row>
    <row r="6" spans="1:22" ht="21.75" customHeight="1">
      <c r="A6" s="618" t="s">
        <v>181</v>
      </c>
      <c r="B6" s="618"/>
      <c r="C6" s="618"/>
      <c r="D6" s="353"/>
      <c r="E6" s="555" t="str">
        <f>ข้อมูลโครงการ!I14</f>
        <v>1/2560   1  สิงหาคม 2560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</row>
    <row r="7" spans="1:22" ht="21.75" customHeight="1">
      <c r="A7" s="618" t="s">
        <v>751</v>
      </c>
      <c r="B7" s="618"/>
      <c r="C7" s="618"/>
      <c r="D7" s="618"/>
      <c r="E7" s="618"/>
      <c r="F7" s="353" t="str">
        <f>ข้อมูลโครงการ!I11</f>
        <v>องค์การบริหารส่วนตำบลหนองโพ</v>
      </c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</row>
    <row r="8" spans="1:22" ht="21.75" customHeight="1">
      <c r="A8" s="618" t="s">
        <v>677</v>
      </c>
      <c r="B8" s="618"/>
      <c r="C8" s="618"/>
      <c r="D8" s="618"/>
      <c r="E8" s="618"/>
      <c r="F8" s="618"/>
      <c r="G8" s="620">
        <v>2</v>
      </c>
      <c r="H8" s="620"/>
      <c r="I8" s="355"/>
      <c r="J8" s="621" t="s">
        <v>678</v>
      </c>
      <c r="K8" s="621"/>
      <c r="L8" s="356"/>
      <c r="M8" s="357"/>
      <c r="N8" s="353"/>
      <c r="O8" s="353"/>
      <c r="P8" s="353"/>
      <c r="Q8" s="353"/>
      <c r="R8" s="353"/>
      <c r="S8" s="353"/>
      <c r="T8" s="353"/>
      <c r="U8" s="353"/>
      <c r="V8" s="353"/>
    </row>
    <row r="9" spans="1:22" ht="21.75" customHeight="1">
      <c r="A9" s="358" t="s">
        <v>679</v>
      </c>
      <c r="B9" s="358"/>
      <c r="C9" s="358"/>
      <c r="D9" s="358"/>
      <c r="E9" s="358"/>
      <c r="F9" s="622">
        <f>ข้อมูลโครงการ!M56</f>
        <v>42948</v>
      </c>
      <c r="G9" s="622"/>
      <c r="H9" s="621"/>
      <c r="I9" s="621"/>
      <c r="J9" s="620"/>
      <c r="K9" s="620"/>
      <c r="L9" s="620"/>
      <c r="M9" s="620"/>
      <c r="N9" s="620"/>
      <c r="O9" s="621"/>
      <c r="P9" s="621"/>
      <c r="Q9" s="621"/>
      <c r="R9" s="620"/>
      <c r="S9" s="620"/>
      <c r="T9" s="620"/>
      <c r="U9" s="353"/>
      <c r="V9" s="359"/>
    </row>
    <row r="10" spans="1:22" s="362" customFormat="1" ht="21.75" customHeight="1" thickBot="1">
      <c r="A10" s="360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623" t="s">
        <v>183</v>
      </c>
      <c r="V10" s="623"/>
    </row>
    <row r="11" spans="1:22" ht="34.5" customHeight="1" thickBot="1" thickTop="1">
      <c r="A11" s="363" t="s">
        <v>184</v>
      </c>
      <c r="B11" s="587" t="s">
        <v>185</v>
      </c>
      <c r="C11" s="587"/>
      <c r="D11" s="587"/>
      <c r="E11" s="587"/>
      <c r="F11" s="587"/>
      <c r="G11" s="587"/>
      <c r="H11" s="587"/>
      <c r="I11" s="587"/>
      <c r="J11" s="587"/>
      <c r="K11" s="624" t="s">
        <v>4</v>
      </c>
      <c r="L11" s="587"/>
      <c r="M11" s="587"/>
      <c r="N11" s="587"/>
      <c r="O11" s="587" t="s">
        <v>1</v>
      </c>
      <c r="P11" s="587"/>
      <c r="Q11" s="587"/>
      <c r="R11" s="624" t="s">
        <v>680</v>
      </c>
      <c r="S11" s="587"/>
      <c r="T11" s="587"/>
      <c r="U11" s="587" t="s">
        <v>146</v>
      </c>
      <c r="V11" s="587"/>
    </row>
    <row r="12" spans="1:22" ht="21.75" customHeight="1" thickTop="1">
      <c r="A12" s="364">
        <v>1</v>
      </c>
      <c r="B12" s="625" t="str">
        <f>'ปร.4 '!B10:C10</f>
        <v>งานโครงสร้างวิศวกรรม</v>
      </c>
      <c r="C12" s="626"/>
      <c r="D12" s="626"/>
      <c r="E12" s="626"/>
      <c r="F12" s="626"/>
      <c r="G12" s="626"/>
      <c r="H12" s="626"/>
      <c r="I12" s="626"/>
      <c r="J12" s="626"/>
      <c r="K12" s="627">
        <f>'ปร.4 '!J24</f>
        <v>36235.46</v>
      </c>
      <c r="L12" s="628"/>
      <c r="M12" s="628"/>
      <c r="N12" s="629"/>
      <c r="O12" s="630">
        <v>1.3074</v>
      </c>
      <c r="P12" s="631"/>
      <c r="Q12" s="632"/>
      <c r="R12" s="633">
        <f aca="true" t="shared" si="0" ref="R12:R17">ROUNDDOWN(K12*O12,2)</f>
        <v>47374.24</v>
      </c>
      <c r="S12" s="634"/>
      <c r="T12" s="635"/>
      <c r="U12" s="636"/>
      <c r="V12" s="637"/>
    </row>
    <row r="13" spans="1:22" ht="21.75" customHeight="1">
      <c r="A13" s="365">
        <v>2</v>
      </c>
      <c r="B13" s="638" t="str">
        <f>'ปร.4 '!B35:C35</f>
        <v>งานสถาปัตยกรรม</v>
      </c>
      <c r="C13" s="639"/>
      <c r="D13" s="639"/>
      <c r="E13" s="639"/>
      <c r="F13" s="639"/>
      <c r="G13" s="639"/>
      <c r="H13" s="639"/>
      <c r="I13" s="639"/>
      <c r="J13" s="639"/>
      <c r="K13" s="640">
        <f>'ปร.4 '!J50</f>
        <v>41239.399999999994</v>
      </c>
      <c r="L13" s="641"/>
      <c r="M13" s="641"/>
      <c r="N13" s="642"/>
      <c r="O13" s="643">
        <v>1.3074</v>
      </c>
      <c r="P13" s="644"/>
      <c r="Q13" s="645"/>
      <c r="R13" s="646">
        <f t="shared" si="0"/>
        <v>53916.39</v>
      </c>
      <c r="S13" s="647"/>
      <c r="T13" s="648"/>
      <c r="U13" s="636"/>
      <c r="V13" s="637"/>
    </row>
    <row r="14" spans="1:22" ht="21.75" customHeight="1">
      <c r="A14" s="365"/>
      <c r="B14" s="639"/>
      <c r="C14" s="639"/>
      <c r="D14" s="639"/>
      <c r="E14" s="639"/>
      <c r="F14" s="639"/>
      <c r="G14" s="639"/>
      <c r="H14" s="639"/>
      <c r="I14" s="639"/>
      <c r="J14" s="639"/>
      <c r="K14" s="640"/>
      <c r="L14" s="641"/>
      <c r="M14" s="641"/>
      <c r="N14" s="642"/>
      <c r="O14" s="643"/>
      <c r="P14" s="644"/>
      <c r="Q14" s="645"/>
      <c r="R14" s="646"/>
      <c r="S14" s="647"/>
      <c r="T14" s="648"/>
      <c r="U14" s="636"/>
      <c r="V14" s="637"/>
    </row>
    <row r="15" spans="1:22" ht="21.75" customHeight="1">
      <c r="A15" s="365"/>
      <c r="B15" s="639"/>
      <c r="C15" s="639"/>
      <c r="D15" s="639"/>
      <c r="E15" s="639"/>
      <c r="F15" s="639"/>
      <c r="G15" s="639"/>
      <c r="H15" s="639"/>
      <c r="I15" s="639"/>
      <c r="J15" s="639"/>
      <c r="K15" s="649"/>
      <c r="L15" s="650"/>
      <c r="M15" s="650"/>
      <c r="N15" s="651"/>
      <c r="O15" s="643"/>
      <c r="P15" s="644"/>
      <c r="Q15" s="645"/>
      <c r="R15" s="646">
        <f t="shared" si="0"/>
        <v>0</v>
      </c>
      <c r="S15" s="647"/>
      <c r="T15" s="648"/>
      <c r="U15" s="636"/>
      <c r="V15" s="637"/>
    </row>
    <row r="16" spans="1:22" ht="21.75" customHeight="1">
      <c r="A16" s="365"/>
      <c r="B16" s="639"/>
      <c r="C16" s="639"/>
      <c r="D16" s="639"/>
      <c r="E16" s="639"/>
      <c r="F16" s="639"/>
      <c r="G16" s="639"/>
      <c r="H16" s="639"/>
      <c r="I16" s="639"/>
      <c r="J16" s="639"/>
      <c r="K16" s="649"/>
      <c r="L16" s="650"/>
      <c r="M16" s="650"/>
      <c r="N16" s="651"/>
      <c r="O16" s="643"/>
      <c r="P16" s="644"/>
      <c r="Q16" s="645"/>
      <c r="R16" s="646">
        <f t="shared" si="0"/>
        <v>0</v>
      </c>
      <c r="S16" s="647"/>
      <c r="T16" s="648"/>
      <c r="U16" s="636"/>
      <c r="V16" s="637"/>
    </row>
    <row r="17" spans="1:22" ht="21.75" customHeight="1">
      <c r="A17" s="365"/>
      <c r="B17" s="639"/>
      <c r="C17" s="639"/>
      <c r="D17" s="639"/>
      <c r="E17" s="639"/>
      <c r="F17" s="639"/>
      <c r="G17" s="639"/>
      <c r="H17" s="639"/>
      <c r="I17" s="639"/>
      <c r="J17" s="639"/>
      <c r="K17" s="649"/>
      <c r="L17" s="650"/>
      <c r="M17" s="650"/>
      <c r="N17" s="651"/>
      <c r="O17" s="643"/>
      <c r="P17" s="644"/>
      <c r="Q17" s="645"/>
      <c r="R17" s="646">
        <f t="shared" si="0"/>
        <v>0</v>
      </c>
      <c r="S17" s="647"/>
      <c r="T17" s="648"/>
      <c r="U17" s="652"/>
      <c r="V17" s="653"/>
    </row>
    <row r="18" spans="1:22" ht="21.75" customHeight="1">
      <c r="A18" s="365"/>
      <c r="B18" s="654"/>
      <c r="C18" s="655"/>
      <c r="D18" s="655"/>
      <c r="E18" s="655"/>
      <c r="F18" s="655"/>
      <c r="G18" s="655"/>
      <c r="H18" s="655"/>
      <c r="I18" s="655"/>
      <c r="J18" s="656"/>
      <c r="K18" s="649"/>
      <c r="L18" s="650"/>
      <c r="M18" s="650"/>
      <c r="N18" s="651"/>
      <c r="O18" s="643"/>
      <c r="P18" s="644"/>
      <c r="Q18" s="645"/>
      <c r="R18" s="657"/>
      <c r="S18" s="658"/>
      <c r="T18" s="659"/>
      <c r="U18" s="636"/>
      <c r="V18" s="637"/>
    </row>
    <row r="19" spans="1:22" ht="21.75" customHeight="1">
      <c r="A19" s="376"/>
      <c r="B19" s="660" t="s">
        <v>690</v>
      </c>
      <c r="C19" s="661"/>
      <c r="D19" s="661"/>
      <c r="E19" s="661"/>
      <c r="F19" s="661"/>
      <c r="G19" s="661"/>
      <c r="H19" s="661"/>
      <c r="I19" s="661"/>
      <c r="J19" s="662"/>
      <c r="K19" s="663"/>
      <c r="L19" s="663"/>
      <c r="M19" s="663"/>
      <c r="N19" s="663"/>
      <c r="O19" s="664"/>
      <c r="P19" s="664"/>
      <c r="Q19" s="664"/>
      <c r="R19" s="665"/>
      <c r="S19" s="666"/>
      <c r="T19" s="667"/>
      <c r="U19" s="668"/>
      <c r="V19" s="668"/>
    </row>
    <row r="20" spans="1:22" ht="21.75" customHeight="1">
      <c r="A20" s="376"/>
      <c r="B20" s="669" t="s">
        <v>691</v>
      </c>
      <c r="C20" s="669"/>
      <c r="D20" s="669"/>
      <c r="E20" s="669"/>
      <c r="F20" s="669"/>
      <c r="G20" s="669"/>
      <c r="H20" s="670"/>
      <c r="I20" s="671">
        <v>0</v>
      </c>
      <c r="J20" s="672"/>
      <c r="K20" s="663"/>
      <c r="L20" s="663"/>
      <c r="M20" s="663"/>
      <c r="N20" s="663"/>
      <c r="O20" s="664"/>
      <c r="P20" s="664"/>
      <c r="Q20" s="664"/>
      <c r="R20" s="665"/>
      <c r="S20" s="666"/>
      <c r="T20" s="667"/>
      <c r="U20" s="673"/>
      <c r="V20" s="673"/>
    </row>
    <row r="21" spans="1:22" ht="21.75" customHeight="1">
      <c r="A21" s="366"/>
      <c r="B21" s="669" t="s">
        <v>692</v>
      </c>
      <c r="C21" s="669"/>
      <c r="D21" s="669"/>
      <c r="E21" s="669"/>
      <c r="F21" s="669"/>
      <c r="G21" s="669"/>
      <c r="H21" s="670"/>
      <c r="I21" s="671">
        <v>0</v>
      </c>
      <c r="J21" s="672"/>
      <c r="K21" s="663"/>
      <c r="L21" s="663"/>
      <c r="M21" s="663"/>
      <c r="N21" s="663"/>
      <c r="O21" s="664"/>
      <c r="P21" s="664"/>
      <c r="Q21" s="664"/>
      <c r="R21" s="665"/>
      <c r="S21" s="666"/>
      <c r="T21" s="667"/>
      <c r="U21" s="673"/>
      <c r="V21" s="673"/>
    </row>
    <row r="22" spans="1:22" ht="21.75" customHeight="1">
      <c r="A22" s="366"/>
      <c r="B22" s="669" t="s">
        <v>693</v>
      </c>
      <c r="C22" s="669"/>
      <c r="D22" s="669"/>
      <c r="E22" s="669"/>
      <c r="F22" s="669"/>
      <c r="G22" s="669"/>
      <c r="H22" s="670"/>
      <c r="I22" s="671">
        <v>6</v>
      </c>
      <c r="J22" s="672"/>
      <c r="K22" s="663"/>
      <c r="L22" s="663"/>
      <c r="M22" s="663"/>
      <c r="N22" s="663"/>
      <c r="O22" s="664"/>
      <c r="P22" s="664"/>
      <c r="Q22" s="664"/>
      <c r="R22" s="665"/>
      <c r="S22" s="666"/>
      <c r="T22" s="667"/>
      <c r="U22" s="673"/>
      <c r="V22" s="673"/>
    </row>
    <row r="23" spans="1:22" ht="21.75" customHeight="1" thickBot="1">
      <c r="A23" s="367"/>
      <c r="B23" s="674" t="s">
        <v>694</v>
      </c>
      <c r="C23" s="674"/>
      <c r="D23" s="674"/>
      <c r="E23" s="674"/>
      <c r="F23" s="674"/>
      <c r="G23" s="674"/>
      <c r="H23" s="675"/>
      <c r="I23" s="676">
        <v>7</v>
      </c>
      <c r="J23" s="677"/>
      <c r="K23" s="678">
        <f>SUM(K12:K22)</f>
        <v>77474.85999999999</v>
      </c>
      <c r="L23" s="678"/>
      <c r="M23" s="678"/>
      <c r="N23" s="678"/>
      <c r="O23" s="679"/>
      <c r="P23" s="679"/>
      <c r="Q23" s="679"/>
      <c r="R23" s="680">
        <f>SUM(R12:T13)</f>
        <v>101290.63</v>
      </c>
      <c r="S23" s="681"/>
      <c r="T23" s="682"/>
      <c r="U23" s="683"/>
      <c r="V23" s="683"/>
    </row>
    <row r="24" spans="1:22" ht="21.75" customHeight="1" thickBot="1" thickTop="1">
      <c r="A24" s="377"/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684" t="s">
        <v>681</v>
      </c>
      <c r="O24" s="684"/>
      <c r="P24" s="684"/>
      <c r="Q24" s="685"/>
      <c r="R24" s="686">
        <v>100000</v>
      </c>
      <c r="S24" s="687"/>
      <c r="T24" s="688"/>
      <c r="U24" s="689"/>
      <c r="V24" s="689"/>
    </row>
    <row r="25" spans="1:22" ht="21.75" customHeight="1" thickTop="1">
      <c r="A25" s="378" t="s">
        <v>695</v>
      </c>
      <c r="B25" s="690" t="s">
        <v>696</v>
      </c>
      <c r="C25" s="690"/>
      <c r="D25" s="690"/>
      <c r="E25" s="690"/>
      <c r="F25" s="690" t="s">
        <v>186</v>
      </c>
      <c r="G25" s="690"/>
      <c r="H25" s="691">
        <v>9</v>
      </c>
      <c r="I25" s="691"/>
      <c r="J25" s="379"/>
      <c r="K25" s="690" t="s">
        <v>190</v>
      </c>
      <c r="L25" s="690"/>
      <c r="M25" s="374"/>
      <c r="N25" s="690" t="s">
        <v>697</v>
      </c>
      <c r="O25" s="690"/>
      <c r="P25" s="690"/>
      <c r="Q25" s="692">
        <f>R24/H25</f>
        <v>11111.111111111111</v>
      </c>
      <c r="R25" s="692"/>
      <c r="S25" s="692"/>
      <c r="T25" s="692"/>
      <c r="U25" s="690" t="s">
        <v>698</v>
      </c>
      <c r="V25" s="690"/>
    </row>
    <row r="26" spans="1:22" ht="21.75" customHeight="1">
      <c r="A26" s="371"/>
      <c r="B26" s="369"/>
      <c r="C26" s="369"/>
      <c r="D26" s="369"/>
      <c r="E26" s="369"/>
      <c r="F26" s="369"/>
      <c r="G26" s="370"/>
      <c r="H26" s="370"/>
      <c r="I26" s="370"/>
      <c r="J26" s="369"/>
      <c r="K26" s="369"/>
      <c r="L26" s="369"/>
      <c r="M26" s="368"/>
      <c r="N26" s="368"/>
      <c r="O26" s="368"/>
      <c r="P26" s="368"/>
      <c r="Q26" s="368"/>
      <c r="R26" s="368"/>
      <c r="S26" s="368"/>
      <c r="T26" s="368"/>
      <c r="U26" s="368"/>
      <c r="V26" s="368"/>
    </row>
    <row r="27" spans="1:22" ht="21.75" customHeight="1">
      <c r="A27" s="371"/>
      <c r="B27" s="368"/>
      <c r="C27" s="368"/>
      <c r="D27" s="368"/>
      <c r="E27" s="369"/>
      <c r="F27" s="369"/>
      <c r="G27" s="370"/>
      <c r="H27" s="370"/>
      <c r="I27" s="370"/>
      <c r="J27" s="369"/>
      <c r="K27" s="369"/>
      <c r="L27" s="369"/>
      <c r="M27" s="368"/>
      <c r="N27" s="368"/>
      <c r="O27" s="368"/>
      <c r="P27" s="368"/>
      <c r="Q27" s="368"/>
      <c r="R27" s="368"/>
      <c r="S27" s="368"/>
      <c r="T27" s="368"/>
      <c r="U27" s="368"/>
      <c r="V27" s="368"/>
    </row>
    <row r="28" spans="1:22" ht="21.75" customHeight="1">
      <c r="A28" s="371"/>
      <c r="B28" s="693" t="s">
        <v>682</v>
      </c>
      <c r="C28" s="693"/>
      <c r="D28" s="693"/>
      <c r="E28" s="694" t="s">
        <v>683</v>
      </c>
      <c r="F28" s="694"/>
      <c r="G28" s="694"/>
      <c r="H28" s="694"/>
      <c r="I28" s="694"/>
      <c r="J28" s="694"/>
      <c r="K28" s="369"/>
      <c r="L28" s="693" t="s">
        <v>684</v>
      </c>
      <c r="M28" s="693"/>
      <c r="N28" s="693"/>
      <c r="O28" s="694" t="s">
        <v>685</v>
      </c>
      <c r="P28" s="694"/>
      <c r="Q28" s="694"/>
      <c r="R28" s="694"/>
      <c r="S28" s="694"/>
      <c r="T28" s="694"/>
      <c r="U28" s="694"/>
      <c r="V28" s="368"/>
    </row>
    <row r="29" spans="1:22" ht="21.75" customHeight="1">
      <c r="A29" s="371"/>
      <c r="B29" s="369"/>
      <c r="C29" s="369"/>
      <c r="D29" s="369"/>
      <c r="E29" s="693" t="e">
        <f>#REF!</f>
        <v>#REF!</v>
      </c>
      <c r="F29" s="693"/>
      <c r="G29" s="693"/>
      <c r="H29" s="693"/>
      <c r="I29" s="693"/>
      <c r="J29" s="693"/>
      <c r="K29" s="369"/>
      <c r="L29" s="369"/>
      <c r="M29" s="368"/>
      <c r="N29" s="368"/>
      <c r="O29" s="693" t="e">
        <f>#REF!</f>
        <v>#REF!</v>
      </c>
      <c r="P29" s="693"/>
      <c r="Q29" s="693"/>
      <c r="R29" s="693"/>
      <c r="S29" s="693"/>
      <c r="T29" s="693"/>
      <c r="U29" s="693"/>
      <c r="V29" s="368"/>
    </row>
    <row r="30" spans="1:22" ht="21.75" customHeight="1">
      <c r="A30" s="371"/>
      <c r="B30" s="369"/>
      <c r="C30" s="369"/>
      <c r="D30" s="369"/>
      <c r="E30" s="693" t="str">
        <f>ข้อมูลโครงการ!A69</f>
        <v>นายช่างโยธา อบต.หนองโพ</v>
      </c>
      <c r="F30" s="693"/>
      <c r="G30" s="693"/>
      <c r="H30" s="693"/>
      <c r="I30" s="693"/>
      <c r="J30" s="693"/>
      <c r="K30" s="369"/>
      <c r="L30" s="369"/>
      <c r="M30" s="368"/>
      <c r="N30" s="368"/>
      <c r="O30" s="693" t="e">
        <f>#REF!</f>
        <v>#REF!</v>
      </c>
      <c r="P30" s="693"/>
      <c r="Q30" s="693"/>
      <c r="R30" s="693"/>
      <c r="S30" s="693"/>
      <c r="T30" s="693"/>
      <c r="U30" s="693"/>
      <c r="V30" s="368"/>
    </row>
    <row r="31" spans="1:22" ht="21.75" customHeight="1">
      <c r="A31" s="371"/>
      <c r="B31" s="369"/>
      <c r="C31" s="369"/>
      <c r="D31" s="369"/>
      <c r="E31" s="369"/>
      <c r="F31" s="369"/>
      <c r="G31" s="370"/>
      <c r="H31" s="370"/>
      <c r="I31" s="370"/>
      <c r="J31" s="369"/>
      <c r="K31" s="369"/>
      <c r="L31" s="369"/>
      <c r="M31" s="368"/>
      <c r="N31" s="368"/>
      <c r="O31" s="368"/>
      <c r="P31" s="368"/>
      <c r="Q31" s="368"/>
      <c r="R31" s="368"/>
      <c r="S31" s="368"/>
      <c r="T31" s="368"/>
      <c r="U31" s="368"/>
      <c r="V31" s="368"/>
    </row>
    <row r="32" spans="1:22" ht="21.75" customHeight="1">
      <c r="A32" s="371"/>
      <c r="B32" s="369"/>
      <c r="C32" s="369"/>
      <c r="D32" s="369"/>
      <c r="E32" s="369"/>
      <c r="F32" s="369"/>
      <c r="G32" s="370"/>
      <c r="H32" s="370"/>
      <c r="I32" s="370"/>
      <c r="J32" s="369"/>
      <c r="K32" s="369"/>
      <c r="L32" s="369"/>
      <c r="M32" s="368"/>
      <c r="N32" s="368"/>
      <c r="O32" s="368"/>
      <c r="P32" s="368"/>
      <c r="Q32" s="368"/>
      <c r="R32" s="368"/>
      <c r="S32" s="368"/>
      <c r="T32" s="368"/>
      <c r="U32" s="368"/>
      <c r="V32" s="368"/>
    </row>
    <row r="33" spans="1:22" ht="21.75" customHeight="1">
      <c r="A33" s="371"/>
      <c r="B33" s="693" t="s">
        <v>686</v>
      </c>
      <c r="C33" s="693"/>
      <c r="D33" s="693"/>
      <c r="E33" s="694" t="s">
        <v>683</v>
      </c>
      <c r="F33" s="694"/>
      <c r="G33" s="694"/>
      <c r="H33" s="694"/>
      <c r="I33" s="694"/>
      <c r="J33" s="694"/>
      <c r="K33" s="369"/>
      <c r="L33" s="693" t="s">
        <v>687</v>
      </c>
      <c r="M33" s="693"/>
      <c r="N33" s="693"/>
      <c r="O33" s="694" t="s">
        <v>685</v>
      </c>
      <c r="P33" s="694"/>
      <c r="Q33" s="694"/>
      <c r="R33" s="694"/>
      <c r="S33" s="694"/>
      <c r="T33" s="694"/>
      <c r="U33" s="694"/>
      <c r="V33" s="368"/>
    </row>
    <row r="34" spans="1:22" ht="21.75" customHeight="1">
      <c r="A34" s="371"/>
      <c r="B34" s="369"/>
      <c r="C34" s="369"/>
      <c r="D34" s="369"/>
      <c r="E34" s="693" t="e">
        <f>#REF!</f>
        <v>#REF!</v>
      </c>
      <c r="F34" s="693"/>
      <c r="G34" s="693"/>
      <c r="H34" s="693"/>
      <c r="I34" s="693"/>
      <c r="J34" s="693"/>
      <c r="K34" s="369"/>
      <c r="L34" s="369"/>
      <c r="M34" s="368"/>
      <c r="N34" s="368"/>
      <c r="O34" s="693" t="e">
        <f>#REF!</f>
        <v>#REF!</v>
      </c>
      <c r="P34" s="693"/>
      <c r="Q34" s="693"/>
      <c r="R34" s="693"/>
      <c r="S34" s="693"/>
      <c r="T34" s="693"/>
      <c r="U34" s="693"/>
      <c r="V34" s="368"/>
    </row>
    <row r="35" spans="1:22" ht="21.75" customHeight="1">
      <c r="A35" s="371"/>
      <c r="B35" s="369"/>
      <c r="C35" s="369"/>
      <c r="D35" s="369"/>
      <c r="E35" s="693" t="e">
        <f>#REF!</f>
        <v>#REF!</v>
      </c>
      <c r="F35" s="693"/>
      <c r="G35" s="693"/>
      <c r="H35" s="693"/>
      <c r="I35" s="693"/>
      <c r="J35" s="693"/>
      <c r="K35" s="369"/>
      <c r="L35" s="369"/>
      <c r="M35" s="368"/>
      <c r="N35" s="368"/>
      <c r="O35" s="693" t="e">
        <f>#REF!</f>
        <v>#REF!</v>
      </c>
      <c r="P35" s="693"/>
      <c r="Q35" s="693"/>
      <c r="R35" s="693"/>
      <c r="S35" s="693"/>
      <c r="T35" s="693"/>
      <c r="U35" s="693"/>
      <c r="V35" s="368"/>
    </row>
    <row r="36" spans="1:22" ht="21.75" customHeight="1">
      <c r="A36" s="371"/>
      <c r="B36" s="369"/>
      <c r="C36" s="369"/>
      <c r="D36" s="369"/>
      <c r="E36" s="372"/>
      <c r="F36" s="372"/>
      <c r="G36" s="372"/>
      <c r="H36" s="372"/>
      <c r="I36" s="372"/>
      <c r="J36" s="372"/>
      <c r="K36" s="369"/>
      <c r="L36" s="369"/>
      <c r="M36" s="368"/>
      <c r="N36" s="368"/>
      <c r="O36" s="372"/>
      <c r="P36" s="372"/>
      <c r="Q36" s="372"/>
      <c r="R36" s="372"/>
      <c r="S36" s="372"/>
      <c r="T36" s="372"/>
      <c r="U36" s="372"/>
      <c r="V36" s="368"/>
    </row>
    <row r="37" spans="1:22" ht="24" customHeight="1">
      <c r="A37" s="371"/>
      <c r="B37" s="369"/>
      <c r="C37" s="369"/>
      <c r="D37" s="369"/>
      <c r="E37" s="368"/>
      <c r="F37" s="368"/>
      <c r="G37" s="368"/>
      <c r="H37" s="368"/>
      <c r="I37" s="368"/>
      <c r="J37" s="368"/>
      <c r="K37" s="369"/>
      <c r="L37" s="369"/>
      <c r="M37" s="368"/>
      <c r="N37" s="368"/>
      <c r="O37" s="368"/>
      <c r="P37" s="368"/>
      <c r="Q37" s="368"/>
      <c r="R37" s="368"/>
      <c r="S37" s="368"/>
      <c r="T37" s="368"/>
      <c r="U37" s="368"/>
      <c r="V37" s="368"/>
    </row>
    <row r="38" spans="1:22" ht="21.75" customHeight="1">
      <c r="A38" s="362"/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</row>
    <row r="39" spans="2:22" ht="21.75" customHeight="1">
      <c r="B39" s="369"/>
      <c r="C39" s="369"/>
      <c r="D39" s="369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</row>
  </sheetData>
  <sheetProtection/>
  <mergeCells count="111">
    <mergeCell ref="E34:J34"/>
    <mergeCell ref="O34:U34"/>
    <mergeCell ref="E35:J35"/>
    <mergeCell ref="O35:U35"/>
    <mergeCell ref="E30:J30"/>
    <mergeCell ref="O30:U30"/>
    <mergeCell ref="B33:D33"/>
    <mergeCell ref="E33:J33"/>
    <mergeCell ref="L33:N33"/>
    <mergeCell ref="O33:U33"/>
    <mergeCell ref="B28:D28"/>
    <mergeCell ref="E28:J28"/>
    <mergeCell ref="L28:N28"/>
    <mergeCell ref="O28:U28"/>
    <mergeCell ref="E29:J29"/>
    <mergeCell ref="O29:U29"/>
    <mergeCell ref="N24:Q24"/>
    <mergeCell ref="R24:T24"/>
    <mergeCell ref="U24:V24"/>
    <mergeCell ref="B25:E25"/>
    <mergeCell ref="F25:G25"/>
    <mergeCell ref="H25:I25"/>
    <mergeCell ref="K25:L25"/>
    <mergeCell ref="N25:P25"/>
    <mergeCell ref="Q25:T25"/>
    <mergeCell ref="U25:V25"/>
    <mergeCell ref="B23:H23"/>
    <mergeCell ref="I23:J23"/>
    <mergeCell ref="K23:N23"/>
    <mergeCell ref="O23:Q23"/>
    <mergeCell ref="R23:T23"/>
    <mergeCell ref="U23:V23"/>
    <mergeCell ref="B22:H22"/>
    <mergeCell ref="I22:J22"/>
    <mergeCell ref="K22:N22"/>
    <mergeCell ref="O22:Q22"/>
    <mergeCell ref="R22:T22"/>
    <mergeCell ref="U22:V22"/>
    <mergeCell ref="B21:H21"/>
    <mergeCell ref="I21:J21"/>
    <mergeCell ref="K21:N21"/>
    <mergeCell ref="O21:Q21"/>
    <mergeCell ref="R21:T21"/>
    <mergeCell ref="U21:V21"/>
    <mergeCell ref="B20:H20"/>
    <mergeCell ref="I20:J20"/>
    <mergeCell ref="K20:N20"/>
    <mergeCell ref="O20:Q20"/>
    <mergeCell ref="R20:T20"/>
    <mergeCell ref="U20:V20"/>
    <mergeCell ref="B18:J18"/>
    <mergeCell ref="K18:N18"/>
    <mergeCell ref="O18:Q18"/>
    <mergeCell ref="R18:T18"/>
    <mergeCell ref="U18:V18"/>
    <mergeCell ref="B19:J19"/>
    <mergeCell ref="K19:N19"/>
    <mergeCell ref="O19:Q19"/>
    <mergeCell ref="R19:T19"/>
    <mergeCell ref="U19:V19"/>
    <mergeCell ref="B16:J16"/>
    <mergeCell ref="K16:N16"/>
    <mergeCell ref="O16:Q16"/>
    <mergeCell ref="R16:T16"/>
    <mergeCell ref="U16:V16"/>
    <mergeCell ref="B17:J17"/>
    <mergeCell ref="K17:N17"/>
    <mergeCell ref="O17:Q17"/>
    <mergeCell ref="R17:T17"/>
    <mergeCell ref="U17:V17"/>
    <mergeCell ref="B14:J14"/>
    <mergeCell ref="K14:N14"/>
    <mergeCell ref="O14:Q14"/>
    <mergeCell ref="R14:T14"/>
    <mergeCell ref="U14:V14"/>
    <mergeCell ref="B15:J15"/>
    <mergeCell ref="K15:N15"/>
    <mergeCell ref="O15:Q15"/>
    <mergeCell ref="R15:T15"/>
    <mergeCell ref="U15:V15"/>
    <mergeCell ref="B12:J12"/>
    <mergeCell ref="K12:N12"/>
    <mergeCell ref="O12:Q12"/>
    <mergeCell ref="R12:T12"/>
    <mergeCell ref="U12:V12"/>
    <mergeCell ref="B13:J13"/>
    <mergeCell ref="K13:N13"/>
    <mergeCell ref="O13:Q13"/>
    <mergeCell ref="R13:T13"/>
    <mergeCell ref="U13:V13"/>
    <mergeCell ref="O9:Q9"/>
    <mergeCell ref="R9:T9"/>
    <mergeCell ref="U10:V10"/>
    <mergeCell ref="B11:J11"/>
    <mergeCell ref="K11:N11"/>
    <mergeCell ref="O11:Q11"/>
    <mergeCell ref="R11:T11"/>
    <mergeCell ref="U11:V11"/>
    <mergeCell ref="A8:F8"/>
    <mergeCell ref="G8:H8"/>
    <mergeCell ref="J8:K8"/>
    <mergeCell ref="H9:I9"/>
    <mergeCell ref="J9:N9"/>
    <mergeCell ref="A7:E7"/>
    <mergeCell ref="F9:G9"/>
    <mergeCell ref="A2:V2"/>
    <mergeCell ref="A3:C3"/>
    <mergeCell ref="A4:D4"/>
    <mergeCell ref="A5:C5"/>
    <mergeCell ref="T1:V1"/>
    <mergeCell ref="A6:C6"/>
  </mergeCells>
  <printOptions horizontalCentered="1"/>
  <pageMargins left="0.5118110236220472" right="0.2755905511811024" top="0.35433070866141736" bottom="0.31496062992125984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H1303"/>
  <sheetViews>
    <sheetView showGridLines="0"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7.8515625" style="172" customWidth="1"/>
    <col min="2" max="2" width="3.421875" style="173" customWidth="1"/>
    <col min="3" max="3" width="46.7109375" style="172" customWidth="1"/>
    <col min="4" max="4" width="8.00390625" style="172" customWidth="1"/>
    <col min="5" max="5" width="9.57421875" style="172" customWidth="1"/>
    <col min="6" max="6" width="10.421875" style="174" customWidth="1"/>
    <col min="7" max="7" width="11.421875" style="172" customWidth="1"/>
    <col min="8" max="8" width="14.57421875" style="172" customWidth="1"/>
    <col min="9" max="9" width="0.9921875" style="172" customWidth="1"/>
    <col min="10" max="16384" width="9.140625" style="172" customWidth="1"/>
  </cols>
  <sheetData>
    <row r="1" ht="18" customHeight="1"/>
    <row r="2" spans="1:8" ht="32.25" customHeight="1">
      <c r="A2" s="696" t="s">
        <v>193</v>
      </c>
      <c r="B2" s="696"/>
      <c r="C2" s="696"/>
      <c r="D2" s="696"/>
      <c r="E2" s="696"/>
      <c r="F2" s="696"/>
      <c r="G2" s="696"/>
      <c r="H2" s="696"/>
    </row>
    <row r="3" spans="1:8" ht="20.25">
      <c r="A3" s="697" t="s">
        <v>184</v>
      </c>
      <c r="B3" s="697" t="s">
        <v>185</v>
      </c>
      <c r="C3" s="699"/>
      <c r="D3" s="700" t="s">
        <v>186</v>
      </c>
      <c r="E3" s="700" t="s">
        <v>187</v>
      </c>
      <c r="F3" s="175" t="s">
        <v>194</v>
      </c>
      <c r="G3" s="176" t="s">
        <v>195</v>
      </c>
      <c r="H3" s="697" t="s">
        <v>146</v>
      </c>
    </row>
    <row r="4" spans="1:8" ht="20.25">
      <c r="A4" s="698"/>
      <c r="B4" s="698"/>
      <c r="C4" s="698"/>
      <c r="D4" s="701"/>
      <c r="E4" s="701"/>
      <c r="F4" s="177" t="s">
        <v>196</v>
      </c>
      <c r="G4" s="178" t="s">
        <v>196</v>
      </c>
      <c r="H4" s="698"/>
    </row>
    <row r="5" spans="1:8" s="185" customFormat="1" ht="22.5">
      <c r="A5" s="179">
        <v>1</v>
      </c>
      <c r="B5" s="180" t="s">
        <v>197</v>
      </c>
      <c r="C5" s="181"/>
      <c r="D5" s="182"/>
      <c r="E5" s="182"/>
      <c r="F5" s="183"/>
      <c r="G5" s="184" t="s">
        <v>198</v>
      </c>
      <c r="H5" s="182"/>
    </row>
    <row r="6" spans="1:8" ht="21">
      <c r="A6" s="186">
        <v>1.1</v>
      </c>
      <c r="B6" s="187" t="s">
        <v>199</v>
      </c>
      <c r="C6" s="188"/>
      <c r="D6" s="189"/>
      <c r="E6" s="189"/>
      <c r="F6" s="190"/>
      <c r="G6" s="191" t="s">
        <v>198</v>
      </c>
      <c r="H6" s="189"/>
    </row>
    <row r="7" spans="1:8" ht="20.25">
      <c r="A7" s="189"/>
      <c r="B7" s="192" t="s">
        <v>200</v>
      </c>
      <c r="C7" s="193"/>
      <c r="D7" s="194">
        <v>260</v>
      </c>
      <c r="E7" s="191" t="s">
        <v>201</v>
      </c>
      <c r="F7" s="195">
        <v>2.09</v>
      </c>
      <c r="G7" s="196">
        <f>D7*F7</f>
        <v>543.4</v>
      </c>
      <c r="H7" s="197" t="s">
        <v>202</v>
      </c>
    </row>
    <row r="8" spans="1:8" ht="20.25">
      <c r="A8" s="189"/>
      <c r="B8" s="192" t="s">
        <v>203</v>
      </c>
      <c r="C8" s="193"/>
      <c r="D8" s="198">
        <v>0.62</v>
      </c>
      <c r="E8" s="191" t="s">
        <v>189</v>
      </c>
      <c r="F8" s="195">
        <v>420.56</v>
      </c>
      <c r="G8" s="196">
        <f>D8*F8</f>
        <v>260.7472</v>
      </c>
      <c r="H8" s="189"/>
    </row>
    <row r="9" spans="1:8" ht="20.25">
      <c r="A9" s="189"/>
      <c r="B9" s="192" t="s">
        <v>204</v>
      </c>
      <c r="C9" s="193"/>
      <c r="D9" s="198">
        <v>1.03</v>
      </c>
      <c r="E9" s="191" t="s">
        <v>189</v>
      </c>
      <c r="F9" s="195">
        <v>654.21</v>
      </c>
      <c r="G9" s="196">
        <f>D9*F9</f>
        <v>673.8363</v>
      </c>
      <c r="H9" s="189"/>
    </row>
    <row r="10" spans="1:8" ht="20.25">
      <c r="A10" s="189"/>
      <c r="B10" s="192" t="s">
        <v>205</v>
      </c>
      <c r="C10" s="193"/>
      <c r="D10" s="194">
        <v>180</v>
      </c>
      <c r="E10" s="191" t="s">
        <v>206</v>
      </c>
      <c r="F10" s="199">
        <f>3/1000</f>
        <v>0.003</v>
      </c>
      <c r="G10" s="196">
        <f>D10*F10</f>
        <v>0.54</v>
      </c>
      <c r="H10" s="189"/>
    </row>
    <row r="11" spans="1:8" ht="21">
      <c r="A11" s="200"/>
      <c r="B11" s="201"/>
      <c r="C11" s="202" t="s">
        <v>207</v>
      </c>
      <c r="D11" s="203">
        <v>1</v>
      </c>
      <c r="E11" s="204" t="s">
        <v>189</v>
      </c>
      <c r="F11" s="205" t="s">
        <v>208</v>
      </c>
      <c r="G11" s="206">
        <f>SUM(G7:G10)</f>
        <v>1478.5235</v>
      </c>
      <c r="H11" s="207" t="s">
        <v>209</v>
      </c>
    </row>
    <row r="12" spans="1:8" ht="21">
      <c r="A12" s="208">
        <v>1.2</v>
      </c>
      <c r="B12" s="187" t="s">
        <v>199</v>
      </c>
      <c r="C12" s="188"/>
      <c r="D12" s="209"/>
      <c r="E12" s="209"/>
      <c r="F12" s="210"/>
      <c r="G12" s="211" t="s">
        <v>198</v>
      </c>
      <c r="H12" s="209"/>
    </row>
    <row r="13" spans="1:8" ht="20.25">
      <c r="A13" s="189"/>
      <c r="B13" s="192" t="s">
        <v>210</v>
      </c>
      <c r="C13" s="193"/>
      <c r="D13" s="194">
        <v>260</v>
      </c>
      <c r="E13" s="191" t="s">
        <v>201</v>
      </c>
      <c r="F13" s="195">
        <v>2.73</v>
      </c>
      <c r="G13" s="196">
        <f>D13*F13</f>
        <v>709.8</v>
      </c>
      <c r="H13" s="197" t="s">
        <v>202</v>
      </c>
    </row>
    <row r="14" spans="1:8" ht="20.25">
      <c r="A14" s="189"/>
      <c r="B14" s="192" t="s">
        <v>203</v>
      </c>
      <c r="C14" s="193"/>
      <c r="D14" s="198">
        <v>0.62</v>
      </c>
      <c r="E14" s="191" t="s">
        <v>189</v>
      </c>
      <c r="F14" s="195">
        <v>360.32</v>
      </c>
      <c r="G14" s="196">
        <f>D14*F14</f>
        <v>223.39839999999998</v>
      </c>
      <c r="H14" s="189"/>
    </row>
    <row r="15" spans="1:8" ht="20.25">
      <c r="A15" s="189"/>
      <c r="B15" s="192" t="s">
        <v>204</v>
      </c>
      <c r="C15" s="193"/>
      <c r="D15" s="198">
        <v>1.03</v>
      </c>
      <c r="E15" s="191" t="s">
        <v>189</v>
      </c>
      <c r="F15" s="195">
        <v>455.71</v>
      </c>
      <c r="G15" s="196">
        <f>D15*F15</f>
        <v>469.3813</v>
      </c>
      <c r="H15" s="189"/>
    </row>
    <row r="16" spans="1:8" ht="20.25">
      <c r="A16" s="189"/>
      <c r="B16" s="192" t="s">
        <v>205</v>
      </c>
      <c r="C16" s="193"/>
      <c r="D16" s="194">
        <v>180</v>
      </c>
      <c r="E16" s="191" t="s">
        <v>206</v>
      </c>
      <c r="F16" s="199">
        <f>$F$10</f>
        <v>0.003</v>
      </c>
      <c r="G16" s="196">
        <f>D16*F16</f>
        <v>0.54</v>
      </c>
      <c r="H16" s="189"/>
    </row>
    <row r="17" spans="1:8" ht="21">
      <c r="A17" s="200"/>
      <c r="B17" s="201"/>
      <c r="C17" s="202" t="s">
        <v>207</v>
      </c>
      <c r="D17" s="203">
        <v>1</v>
      </c>
      <c r="E17" s="204" t="s">
        <v>189</v>
      </c>
      <c r="F17" s="205" t="s">
        <v>208</v>
      </c>
      <c r="G17" s="206">
        <f>SUM(G13:G16)</f>
        <v>1403.1197</v>
      </c>
      <c r="H17" s="207" t="s">
        <v>209</v>
      </c>
    </row>
    <row r="18" spans="1:8" ht="21">
      <c r="A18" s="208">
        <v>1.3</v>
      </c>
      <c r="B18" s="187" t="s">
        <v>211</v>
      </c>
      <c r="C18" s="188"/>
      <c r="D18" s="209"/>
      <c r="E18" s="209"/>
      <c r="F18" s="210"/>
      <c r="G18" s="211" t="s">
        <v>198</v>
      </c>
      <c r="H18" s="209"/>
    </row>
    <row r="19" spans="1:8" ht="20.25">
      <c r="A19" s="189"/>
      <c r="B19" s="192" t="s">
        <v>212</v>
      </c>
      <c r="C19" s="193"/>
      <c r="D19" s="194">
        <v>342</v>
      </c>
      <c r="E19" s="191" t="s">
        <v>201</v>
      </c>
      <c r="F19" s="195">
        <v>2.09</v>
      </c>
      <c r="G19" s="196">
        <f>D19*F19</f>
        <v>714.78</v>
      </c>
      <c r="H19" s="197" t="s">
        <v>202</v>
      </c>
    </row>
    <row r="20" spans="1:8" ht="20.25">
      <c r="A20" s="189"/>
      <c r="B20" s="192" t="s">
        <v>203</v>
      </c>
      <c r="C20" s="193"/>
      <c r="D20" s="198">
        <v>0.57</v>
      </c>
      <c r="E20" s="191" t="s">
        <v>189</v>
      </c>
      <c r="F20" s="195">
        <v>420.56</v>
      </c>
      <c r="G20" s="196">
        <f>D20*F20</f>
        <v>239.71919999999997</v>
      </c>
      <c r="H20" s="189"/>
    </row>
    <row r="21" spans="1:8" ht="20.25">
      <c r="A21" s="189"/>
      <c r="B21" s="192" t="s">
        <v>204</v>
      </c>
      <c r="C21" s="193"/>
      <c r="D21" s="198">
        <v>1.09</v>
      </c>
      <c r="E21" s="191" t="s">
        <v>189</v>
      </c>
      <c r="F21" s="195">
        <v>654.21</v>
      </c>
      <c r="G21" s="196">
        <f>D21*F21</f>
        <v>713.0889000000001</v>
      </c>
      <c r="H21" s="189"/>
    </row>
    <row r="22" spans="1:8" ht="20.25">
      <c r="A22" s="189"/>
      <c r="B22" s="192" t="s">
        <v>205</v>
      </c>
      <c r="C22" s="193"/>
      <c r="D22" s="194">
        <v>180</v>
      </c>
      <c r="E22" s="191" t="s">
        <v>206</v>
      </c>
      <c r="F22" s="199">
        <f>$F$10</f>
        <v>0.003</v>
      </c>
      <c r="G22" s="196">
        <f>D22*F22</f>
        <v>0.54</v>
      </c>
      <c r="H22" s="189"/>
    </row>
    <row r="23" spans="1:8" ht="21">
      <c r="A23" s="200"/>
      <c r="B23" s="201"/>
      <c r="C23" s="202" t="s">
        <v>213</v>
      </c>
      <c r="D23" s="203">
        <v>1</v>
      </c>
      <c r="E23" s="204" t="s">
        <v>189</v>
      </c>
      <c r="F23" s="205" t="s">
        <v>208</v>
      </c>
      <c r="G23" s="206">
        <f>SUM(G19:G22)</f>
        <v>1668.1281</v>
      </c>
      <c r="H23" s="207" t="s">
        <v>209</v>
      </c>
    </row>
    <row r="24" spans="1:8" ht="21">
      <c r="A24" s="208">
        <v>1.4</v>
      </c>
      <c r="B24" s="187" t="s">
        <v>211</v>
      </c>
      <c r="C24" s="188"/>
      <c r="D24" s="209"/>
      <c r="E24" s="209"/>
      <c r="F24" s="210"/>
      <c r="G24" s="211" t="s">
        <v>198</v>
      </c>
      <c r="H24" s="209"/>
    </row>
    <row r="25" spans="1:8" ht="20.25">
      <c r="A25" s="189"/>
      <c r="B25" s="192" t="s">
        <v>214</v>
      </c>
      <c r="C25" s="193"/>
      <c r="D25" s="194">
        <v>342</v>
      </c>
      <c r="E25" s="191" t="s">
        <v>201</v>
      </c>
      <c r="F25" s="195">
        <v>2.73</v>
      </c>
      <c r="G25" s="196">
        <f>D25*F25</f>
        <v>933.66</v>
      </c>
      <c r="H25" s="197" t="s">
        <v>202</v>
      </c>
    </row>
    <row r="26" spans="1:8" ht="20.25">
      <c r="A26" s="189"/>
      <c r="B26" s="192" t="s">
        <v>203</v>
      </c>
      <c r="C26" s="193"/>
      <c r="D26" s="198">
        <v>0.57</v>
      </c>
      <c r="E26" s="191" t="s">
        <v>189</v>
      </c>
      <c r="F26" s="195">
        <v>360.32</v>
      </c>
      <c r="G26" s="196">
        <f>D26*F26</f>
        <v>205.3824</v>
      </c>
      <c r="H26" s="189"/>
    </row>
    <row r="27" spans="1:8" ht="20.25">
      <c r="A27" s="189"/>
      <c r="B27" s="192" t="s">
        <v>204</v>
      </c>
      <c r="C27" s="193"/>
      <c r="D27" s="198">
        <v>1.09</v>
      </c>
      <c r="E27" s="191" t="s">
        <v>189</v>
      </c>
      <c r="F27" s="195">
        <v>455.71</v>
      </c>
      <c r="G27" s="196">
        <f>D27*F27</f>
        <v>496.7239</v>
      </c>
      <c r="H27" s="189"/>
    </row>
    <row r="28" spans="1:8" ht="20.25">
      <c r="A28" s="189"/>
      <c r="B28" s="192" t="s">
        <v>205</v>
      </c>
      <c r="C28" s="193"/>
      <c r="D28" s="194">
        <v>180</v>
      </c>
      <c r="E28" s="191" t="s">
        <v>206</v>
      </c>
      <c r="F28" s="199">
        <f>$F$10</f>
        <v>0.003</v>
      </c>
      <c r="G28" s="196">
        <f>D28*F28</f>
        <v>0.54</v>
      </c>
      <c r="H28" s="189"/>
    </row>
    <row r="29" spans="1:8" ht="21">
      <c r="A29" s="200"/>
      <c r="B29" s="201"/>
      <c r="C29" s="202" t="s">
        <v>213</v>
      </c>
      <c r="D29" s="203">
        <v>1</v>
      </c>
      <c r="E29" s="204" t="s">
        <v>189</v>
      </c>
      <c r="F29" s="205" t="s">
        <v>208</v>
      </c>
      <c r="G29" s="206">
        <f>SUM(G25:G28)</f>
        <v>1636.3063</v>
      </c>
      <c r="H29" s="207" t="s">
        <v>209</v>
      </c>
    </row>
    <row r="30" spans="1:8" ht="21">
      <c r="A30" s="208">
        <v>1.5</v>
      </c>
      <c r="B30" s="187" t="s">
        <v>211</v>
      </c>
      <c r="C30" s="188"/>
      <c r="D30" s="209"/>
      <c r="E30" s="209"/>
      <c r="F30" s="210"/>
      <c r="G30" s="211" t="s">
        <v>198</v>
      </c>
      <c r="H30" s="209"/>
    </row>
    <row r="31" spans="1:8" ht="20.25">
      <c r="A31" s="189"/>
      <c r="B31" s="192" t="s">
        <v>215</v>
      </c>
      <c r="C31" s="193"/>
      <c r="D31" s="194">
        <v>342</v>
      </c>
      <c r="E31" s="191" t="s">
        <v>201</v>
      </c>
      <c r="F31" s="195">
        <v>3.72</v>
      </c>
      <c r="G31" s="196">
        <f>D31*F31</f>
        <v>1272.24</v>
      </c>
      <c r="H31" s="197" t="s">
        <v>198</v>
      </c>
    </row>
    <row r="32" spans="1:8" ht="20.25">
      <c r="A32" s="189"/>
      <c r="B32" s="192" t="s">
        <v>203</v>
      </c>
      <c r="C32" s="193"/>
      <c r="D32" s="198">
        <v>0.57</v>
      </c>
      <c r="E32" s="191" t="s">
        <v>189</v>
      </c>
      <c r="F32" s="195">
        <v>360.32</v>
      </c>
      <c r="G32" s="196">
        <f>D32*F32</f>
        <v>205.3824</v>
      </c>
      <c r="H32" s="189"/>
    </row>
    <row r="33" spans="1:8" ht="20.25">
      <c r="A33" s="189"/>
      <c r="B33" s="192" t="s">
        <v>204</v>
      </c>
      <c r="C33" s="193"/>
      <c r="D33" s="198">
        <v>1.09</v>
      </c>
      <c r="E33" s="191" t="s">
        <v>189</v>
      </c>
      <c r="F33" s="195">
        <v>455.71</v>
      </c>
      <c r="G33" s="196">
        <f>D33*F33</f>
        <v>496.7239</v>
      </c>
      <c r="H33" s="189"/>
    </row>
    <row r="34" spans="1:8" ht="20.25">
      <c r="A34" s="189"/>
      <c r="B34" s="192" t="s">
        <v>205</v>
      </c>
      <c r="C34" s="193"/>
      <c r="D34" s="194">
        <v>180</v>
      </c>
      <c r="E34" s="191" t="s">
        <v>206</v>
      </c>
      <c r="F34" s="199">
        <f>$F$10</f>
        <v>0.003</v>
      </c>
      <c r="G34" s="196">
        <f>D34*F34</f>
        <v>0.54</v>
      </c>
      <c r="H34" s="189"/>
    </row>
    <row r="35" spans="1:8" ht="21">
      <c r="A35" s="189"/>
      <c r="B35" s="192"/>
      <c r="C35" s="188" t="s">
        <v>213</v>
      </c>
      <c r="D35" s="194">
        <v>1</v>
      </c>
      <c r="E35" s="191" t="s">
        <v>189</v>
      </c>
      <c r="F35" s="212" t="s">
        <v>208</v>
      </c>
      <c r="G35" s="213">
        <f>SUM(G31:G34)</f>
        <v>1974.8863</v>
      </c>
      <c r="H35" s="214" t="s">
        <v>209</v>
      </c>
    </row>
    <row r="36" spans="1:8" ht="21" customHeight="1">
      <c r="A36" s="200"/>
      <c r="B36" s="201"/>
      <c r="C36" s="202" t="s">
        <v>198</v>
      </c>
      <c r="D36" s="203" t="s">
        <v>198</v>
      </c>
      <c r="E36" s="215" t="s">
        <v>198</v>
      </c>
      <c r="F36" s="216" t="s">
        <v>198</v>
      </c>
      <c r="G36" s="215" t="s">
        <v>198</v>
      </c>
      <c r="H36" s="200" t="s">
        <v>198</v>
      </c>
    </row>
    <row r="37" spans="1:8" s="185" customFormat="1" ht="22.5">
      <c r="A37" s="179">
        <v>2</v>
      </c>
      <c r="B37" s="180" t="s">
        <v>216</v>
      </c>
      <c r="C37" s="217"/>
      <c r="D37" s="182"/>
      <c r="E37" s="182"/>
      <c r="F37" s="183"/>
      <c r="G37" s="184" t="s">
        <v>198</v>
      </c>
      <c r="H37" s="182"/>
    </row>
    <row r="38" spans="1:8" ht="21">
      <c r="A38" s="208">
        <v>2.1</v>
      </c>
      <c r="B38" s="187" t="s">
        <v>700</v>
      </c>
      <c r="C38" s="193"/>
      <c r="D38" s="209"/>
      <c r="E38" s="209"/>
      <c r="F38" s="210"/>
      <c r="G38" s="211" t="s">
        <v>198</v>
      </c>
      <c r="H38" s="209"/>
    </row>
    <row r="39" spans="1:8" ht="20.25">
      <c r="A39" s="189"/>
      <c r="B39" s="192" t="s">
        <v>217</v>
      </c>
      <c r="C39" s="193"/>
      <c r="D39" s="194">
        <v>304</v>
      </c>
      <c r="E39" s="191" t="s">
        <v>201</v>
      </c>
      <c r="F39" s="195">
        <v>2.73</v>
      </c>
      <c r="G39" s="196">
        <f>D39*F39</f>
        <v>829.92</v>
      </c>
      <c r="H39" s="197" t="s">
        <v>202</v>
      </c>
    </row>
    <row r="40" spans="1:8" ht="20.25">
      <c r="A40" s="189"/>
      <c r="B40" s="192" t="s">
        <v>203</v>
      </c>
      <c r="C40" s="193"/>
      <c r="D40" s="198">
        <v>0.43</v>
      </c>
      <c r="E40" s="191" t="s">
        <v>189</v>
      </c>
      <c r="F40" s="195">
        <v>360.32</v>
      </c>
      <c r="G40" s="196">
        <f>D40*F40</f>
        <v>154.9376</v>
      </c>
      <c r="H40" s="189"/>
    </row>
    <row r="41" spans="1:8" ht="20.25">
      <c r="A41" s="189"/>
      <c r="B41" s="192" t="s">
        <v>204</v>
      </c>
      <c r="C41" s="193"/>
      <c r="D41" s="198">
        <v>0.99</v>
      </c>
      <c r="E41" s="191" t="s">
        <v>189</v>
      </c>
      <c r="F41" s="195">
        <v>455.71</v>
      </c>
      <c r="G41" s="196">
        <f>D41*F41</f>
        <v>451.1529</v>
      </c>
      <c r="H41" s="189"/>
    </row>
    <row r="42" spans="1:8" ht="20.25">
      <c r="A42" s="189"/>
      <c r="B42" s="192" t="s">
        <v>205</v>
      </c>
      <c r="C42" s="193"/>
      <c r="D42" s="194">
        <v>180</v>
      </c>
      <c r="E42" s="191" t="s">
        <v>206</v>
      </c>
      <c r="F42" s="199">
        <f>$F$10</f>
        <v>0.003</v>
      </c>
      <c r="G42" s="196">
        <f>D42*F42</f>
        <v>0.54</v>
      </c>
      <c r="H42" s="189"/>
    </row>
    <row r="43" spans="1:8" ht="21">
      <c r="A43" s="200"/>
      <c r="B43" s="201"/>
      <c r="C43" s="202" t="s">
        <v>218</v>
      </c>
      <c r="D43" s="203">
        <v>1</v>
      </c>
      <c r="E43" s="204" t="s">
        <v>189</v>
      </c>
      <c r="F43" s="205" t="s">
        <v>208</v>
      </c>
      <c r="G43" s="206">
        <f>SUM(G39:G42)</f>
        <v>1436.5504999999998</v>
      </c>
      <c r="H43" s="207" t="s">
        <v>209</v>
      </c>
    </row>
    <row r="44" spans="1:8" ht="21">
      <c r="A44" s="208">
        <v>2.2</v>
      </c>
      <c r="B44" s="187" t="s">
        <v>701</v>
      </c>
      <c r="C44" s="193"/>
      <c r="D44" s="209"/>
      <c r="E44" s="209"/>
      <c r="F44" s="210"/>
      <c r="G44" s="211" t="s">
        <v>198</v>
      </c>
      <c r="H44" s="209"/>
    </row>
    <row r="45" spans="1:8" ht="20.25">
      <c r="A45" s="189"/>
      <c r="B45" s="192" t="s">
        <v>214</v>
      </c>
      <c r="C45" s="193"/>
      <c r="D45" s="194">
        <v>336</v>
      </c>
      <c r="E45" s="191" t="s">
        <v>201</v>
      </c>
      <c r="F45" s="195">
        <v>2.73</v>
      </c>
      <c r="G45" s="196">
        <f>D45*F45</f>
        <v>917.28</v>
      </c>
      <c r="H45" s="197" t="s">
        <v>202</v>
      </c>
    </row>
    <row r="46" spans="1:8" ht="20.25">
      <c r="A46" s="189"/>
      <c r="B46" s="192" t="s">
        <v>203</v>
      </c>
      <c r="C46" s="193"/>
      <c r="D46" s="198">
        <v>0.6</v>
      </c>
      <c r="E46" s="191" t="s">
        <v>189</v>
      </c>
      <c r="F46" s="195">
        <v>360.32</v>
      </c>
      <c r="G46" s="196">
        <f>D46*F46</f>
        <v>216.19199999999998</v>
      </c>
      <c r="H46" s="189"/>
    </row>
    <row r="47" spans="1:8" ht="20.25">
      <c r="A47" s="189"/>
      <c r="B47" s="192" t="s">
        <v>204</v>
      </c>
      <c r="C47" s="193"/>
      <c r="D47" s="198">
        <v>1.09</v>
      </c>
      <c r="E47" s="191" t="s">
        <v>189</v>
      </c>
      <c r="F47" s="195">
        <v>455.71</v>
      </c>
      <c r="G47" s="196">
        <f>D47*F47</f>
        <v>496.7239</v>
      </c>
      <c r="H47" s="189"/>
    </row>
    <row r="48" spans="1:8" ht="20.25">
      <c r="A48" s="189"/>
      <c r="B48" s="192" t="s">
        <v>205</v>
      </c>
      <c r="C48" s="193"/>
      <c r="D48" s="194">
        <v>180</v>
      </c>
      <c r="E48" s="191" t="s">
        <v>206</v>
      </c>
      <c r="F48" s="199">
        <f>$F$10</f>
        <v>0.003</v>
      </c>
      <c r="G48" s="196">
        <f>D48*F48</f>
        <v>0.54</v>
      </c>
      <c r="H48" s="189"/>
    </row>
    <row r="49" spans="1:8" ht="21">
      <c r="A49" s="200"/>
      <c r="B49" s="201"/>
      <c r="C49" s="202" t="s">
        <v>219</v>
      </c>
      <c r="D49" s="203">
        <v>1</v>
      </c>
      <c r="E49" s="204" t="s">
        <v>189</v>
      </c>
      <c r="F49" s="205" t="s">
        <v>208</v>
      </c>
      <c r="G49" s="206">
        <f>SUM(G45:G48)</f>
        <v>1630.7359</v>
      </c>
      <c r="H49" s="207" t="s">
        <v>209</v>
      </c>
    </row>
    <row r="50" spans="1:8" ht="21">
      <c r="A50" s="208">
        <v>2.3</v>
      </c>
      <c r="B50" s="187" t="s">
        <v>702</v>
      </c>
      <c r="C50" s="193"/>
      <c r="D50" s="209"/>
      <c r="E50" s="209"/>
      <c r="F50" s="210"/>
      <c r="G50" s="211" t="s">
        <v>198</v>
      </c>
      <c r="H50" s="209"/>
    </row>
    <row r="51" spans="1:8" ht="20.25">
      <c r="A51" s="189"/>
      <c r="B51" s="192" t="s">
        <v>220</v>
      </c>
      <c r="C51" s="193"/>
      <c r="D51" s="194">
        <v>367</v>
      </c>
      <c r="E51" s="191" t="s">
        <v>201</v>
      </c>
      <c r="F51" s="195">
        <v>2.73</v>
      </c>
      <c r="G51" s="196">
        <f>D51*F51</f>
        <v>1001.91</v>
      </c>
      <c r="H51" s="197" t="s">
        <v>111</v>
      </c>
    </row>
    <row r="52" spans="1:8" ht="20.25">
      <c r="A52" s="189"/>
      <c r="B52" s="192" t="s">
        <v>203</v>
      </c>
      <c r="C52" s="193"/>
      <c r="D52" s="198">
        <v>0.66</v>
      </c>
      <c r="E52" s="191" t="s">
        <v>189</v>
      </c>
      <c r="F52" s="195">
        <v>360.32</v>
      </c>
      <c r="G52" s="196">
        <f>D52*F52</f>
        <v>237.8112</v>
      </c>
      <c r="H52" s="189"/>
    </row>
    <row r="53" spans="1:8" ht="20.25">
      <c r="A53" s="189"/>
      <c r="B53" s="192" t="s">
        <v>204</v>
      </c>
      <c r="C53" s="193"/>
      <c r="D53" s="198">
        <v>0.92</v>
      </c>
      <c r="E53" s="191" t="s">
        <v>189</v>
      </c>
      <c r="F53" s="195">
        <v>455.71</v>
      </c>
      <c r="G53" s="196">
        <f>D53*F53</f>
        <v>419.2532</v>
      </c>
      <c r="H53" s="189"/>
    </row>
    <row r="54" spans="1:8" ht="20.25">
      <c r="A54" s="189"/>
      <c r="B54" s="192" t="s">
        <v>205</v>
      </c>
      <c r="C54" s="193"/>
      <c r="D54" s="194">
        <v>180</v>
      </c>
      <c r="E54" s="191" t="s">
        <v>206</v>
      </c>
      <c r="F54" s="199">
        <f>$F$10</f>
        <v>0.003</v>
      </c>
      <c r="G54" s="196">
        <f>D54*F54</f>
        <v>0.54</v>
      </c>
      <c r="H54" s="189"/>
    </row>
    <row r="55" spans="1:8" ht="21">
      <c r="A55" s="200"/>
      <c r="B55" s="201"/>
      <c r="C55" s="202" t="s">
        <v>221</v>
      </c>
      <c r="D55" s="203">
        <v>1</v>
      </c>
      <c r="E55" s="204" t="s">
        <v>189</v>
      </c>
      <c r="F55" s="205" t="s">
        <v>208</v>
      </c>
      <c r="G55" s="206">
        <f>SUM(G51:G54)</f>
        <v>1659.5144</v>
      </c>
      <c r="H55" s="207" t="s">
        <v>209</v>
      </c>
    </row>
    <row r="56" spans="1:8" ht="21">
      <c r="A56" s="208">
        <v>2.4</v>
      </c>
      <c r="B56" s="187" t="s">
        <v>703</v>
      </c>
      <c r="C56" s="193"/>
      <c r="D56" s="209"/>
      <c r="E56" s="209"/>
      <c r="F56" s="210"/>
      <c r="G56" s="211" t="s">
        <v>198</v>
      </c>
      <c r="H56" s="209"/>
    </row>
    <row r="57" spans="1:8" ht="20.25">
      <c r="A57" s="189"/>
      <c r="B57" s="192" t="s">
        <v>214</v>
      </c>
      <c r="C57" s="193"/>
      <c r="D57" s="194">
        <v>419</v>
      </c>
      <c r="E57" s="191" t="s">
        <v>201</v>
      </c>
      <c r="F57" s="195">
        <v>2.73</v>
      </c>
      <c r="G57" s="196">
        <f>D57*F57</f>
        <v>1143.87</v>
      </c>
      <c r="H57" s="197" t="s">
        <v>202</v>
      </c>
    </row>
    <row r="58" spans="1:8" ht="20.25">
      <c r="A58" s="189"/>
      <c r="B58" s="192" t="s">
        <v>203</v>
      </c>
      <c r="C58" s="193"/>
      <c r="D58" s="198">
        <v>0.5</v>
      </c>
      <c r="E58" s="191" t="s">
        <v>189</v>
      </c>
      <c r="F58" s="195">
        <v>360.32</v>
      </c>
      <c r="G58" s="196">
        <f>D58*F58</f>
        <v>180.16</v>
      </c>
      <c r="H58" s="189"/>
    </row>
    <row r="59" spans="1:8" ht="20.25">
      <c r="A59" s="189"/>
      <c r="B59" s="192" t="s">
        <v>204</v>
      </c>
      <c r="C59" s="193"/>
      <c r="D59" s="198">
        <v>0.97</v>
      </c>
      <c r="E59" s="191" t="s">
        <v>189</v>
      </c>
      <c r="F59" s="195">
        <v>455.71</v>
      </c>
      <c r="G59" s="196">
        <f>D59*F59</f>
        <v>442.03869999999995</v>
      </c>
      <c r="H59" s="189"/>
    </row>
    <row r="60" spans="1:8" ht="20.25">
      <c r="A60" s="189"/>
      <c r="B60" s="192" t="s">
        <v>205</v>
      </c>
      <c r="C60" s="193"/>
      <c r="D60" s="194">
        <v>180</v>
      </c>
      <c r="E60" s="191" t="s">
        <v>206</v>
      </c>
      <c r="F60" s="199">
        <f>$F$10</f>
        <v>0.003</v>
      </c>
      <c r="G60" s="196">
        <f>D60*F60</f>
        <v>0.54</v>
      </c>
      <c r="H60" s="189"/>
    </row>
    <row r="61" spans="1:8" ht="21">
      <c r="A61" s="200"/>
      <c r="B61" s="201"/>
      <c r="C61" s="202" t="s">
        <v>222</v>
      </c>
      <c r="D61" s="203">
        <v>1</v>
      </c>
      <c r="E61" s="204" t="s">
        <v>189</v>
      </c>
      <c r="F61" s="205" t="s">
        <v>208</v>
      </c>
      <c r="G61" s="206">
        <f>SUM(G57:G60)</f>
        <v>1766.6086999999998</v>
      </c>
      <c r="H61" s="207" t="s">
        <v>209</v>
      </c>
    </row>
    <row r="62" spans="1:8" ht="21">
      <c r="A62" s="208">
        <v>2.5</v>
      </c>
      <c r="B62" s="187" t="s">
        <v>701</v>
      </c>
      <c r="C62" s="193"/>
      <c r="D62" s="209"/>
      <c r="E62" s="209"/>
      <c r="F62" s="210"/>
      <c r="G62" s="211" t="s">
        <v>198</v>
      </c>
      <c r="H62" s="209"/>
    </row>
    <row r="63" spans="1:8" ht="20.25">
      <c r="A63" s="189"/>
      <c r="B63" s="192" t="s">
        <v>215</v>
      </c>
      <c r="C63" s="193"/>
      <c r="D63" s="194">
        <v>336</v>
      </c>
      <c r="E63" s="191" t="s">
        <v>201</v>
      </c>
      <c r="F63" s="195">
        <v>3.72</v>
      </c>
      <c r="G63" s="196">
        <f>D63*F63</f>
        <v>1249.92</v>
      </c>
      <c r="H63" s="197" t="s">
        <v>198</v>
      </c>
    </row>
    <row r="64" spans="1:8" ht="20.25">
      <c r="A64" s="189"/>
      <c r="B64" s="192" t="s">
        <v>203</v>
      </c>
      <c r="C64" s="193"/>
      <c r="D64" s="198">
        <v>0.6</v>
      </c>
      <c r="E64" s="191" t="s">
        <v>189</v>
      </c>
      <c r="F64" s="195">
        <v>360.32</v>
      </c>
      <c r="G64" s="196">
        <f>D64*F64</f>
        <v>216.19199999999998</v>
      </c>
      <c r="H64" s="189"/>
    </row>
    <row r="65" spans="1:8" ht="20.25">
      <c r="A65" s="189"/>
      <c r="B65" s="192" t="s">
        <v>204</v>
      </c>
      <c r="C65" s="193"/>
      <c r="D65" s="198">
        <v>1.09</v>
      </c>
      <c r="E65" s="191" t="s">
        <v>189</v>
      </c>
      <c r="F65" s="195">
        <v>455.71</v>
      </c>
      <c r="G65" s="196">
        <f>D65*F65</f>
        <v>496.7239</v>
      </c>
      <c r="H65" s="189"/>
    </row>
    <row r="66" spans="1:8" ht="20.25">
      <c r="A66" s="189"/>
      <c r="B66" s="192" t="s">
        <v>205</v>
      </c>
      <c r="C66" s="193"/>
      <c r="D66" s="194">
        <v>180</v>
      </c>
      <c r="E66" s="191" t="s">
        <v>206</v>
      </c>
      <c r="F66" s="199">
        <f>$F$10</f>
        <v>0.003</v>
      </c>
      <c r="G66" s="196">
        <f>D66*F66</f>
        <v>0.54</v>
      </c>
      <c r="H66" s="189"/>
    </row>
    <row r="67" spans="1:8" ht="21">
      <c r="A67" s="189"/>
      <c r="B67" s="192"/>
      <c r="C67" s="188" t="s">
        <v>219</v>
      </c>
      <c r="D67" s="194">
        <v>1</v>
      </c>
      <c r="E67" s="191" t="s">
        <v>189</v>
      </c>
      <c r="F67" s="212" t="s">
        <v>208</v>
      </c>
      <c r="G67" s="213">
        <f>SUM(G63:G66)</f>
        <v>1963.3759</v>
      </c>
      <c r="H67" s="214" t="s">
        <v>209</v>
      </c>
    </row>
    <row r="68" spans="1:8" ht="21.75" customHeight="1">
      <c r="A68" s="200"/>
      <c r="B68" s="201"/>
      <c r="C68" s="202"/>
      <c r="D68" s="200"/>
      <c r="E68" s="200"/>
      <c r="F68" s="218"/>
      <c r="G68" s="204" t="s">
        <v>198</v>
      </c>
      <c r="H68" s="200"/>
    </row>
    <row r="69" spans="1:8" s="185" customFormat="1" ht="22.5">
      <c r="A69" s="219">
        <v>3</v>
      </c>
      <c r="B69" s="220" t="s">
        <v>223</v>
      </c>
      <c r="C69" s="221"/>
      <c r="D69" s="222"/>
      <c r="E69" s="222"/>
      <c r="F69" s="223"/>
      <c r="G69" s="224" t="s">
        <v>198</v>
      </c>
      <c r="H69" s="225" t="s">
        <v>224</v>
      </c>
    </row>
    <row r="70" spans="1:8" ht="21">
      <c r="A70" s="208">
        <v>3.1</v>
      </c>
      <c r="B70" s="187" t="s">
        <v>225</v>
      </c>
      <c r="C70" s="188"/>
      <c r="D70" s="209"/>
      <c r="E70" s="209"/>
      <c r="F70" s="210"/>
      <c r="G70" s="211" t="s">
        <v>198</v>
      </c>
      <c r="H70" s="225" t="s">
        <v>226</v>
      </c>
    </row>
    <row r="71" spans="1:8" ht="21">
      <c r="A71" s="189"/>
      <c r="B71" s="226" t="s">
        <v>227</v>
      </c>
      <c r="C71" s="188"/>
      <c r="D71" s="227">
        <v>1</v>
      </c>
      <c r="E71" s="228" t="s">
        <v>189</v>
      </c>
      <c r="F71" s="212" t="s">
        <v>208</v>
      </c>
      <c r="G71" s="229">
        <v>2430</v>
      </c>
      <c r="H71" s="230" t="s">
        <v>228</v>
      </c>
    </row>
    <row r="72" spans="1:8" ht="21">
      <c r="A72" s="189"/>
      <c r="B72" s="226" t="s">
        <v>229</v>
      </c>
      <c r="C72" s="188"/>
      <c r="D72" s="227">
        <v>1</v>
      </c>
      <c r="E72" s="228" t="s">
        <v>189</v>
      </c>
      <c r="F72" s="212" t="s">
        <v>208</v>
      </c>
      <c r="G72" s="229">
        <v>2470</v>
      </c>
      <c r="H72" s="230" t="s">
        <v>230</v>
      </c>
    </row>
    <row r="73" spans="1:8" ht="21">
      <c r="A73" s="189"/>
      <c r="B73" s="226" t="s">
        <v>231</v>
      </c>
      <c r="C73" s="188"/>
      <c r="D73" s="227">
        <v>1</v>
      </c>
      <c r="E73" s="228" t="s">
        <v>189</v>
      </c>
      <c r="F73" s="212" t="s">
        <v>208</v>
      </c>
      <c r="G73" s="229">
        <v>2510</v>
      </c>
      <c r="H73" s="231" t="s">
        <v>232</v>
      </c>
    </row>
    <row r="74" spans="1:8" ht="21">
      <c r="A74" s="209"/>
      <c r="B74" s="232" t="s">
        <v>233</v>
      </c>
      <c r="C74" s="193"/>
      <c r="D74" s="233">
        <v>1</v>
      </c>
      <c r="E74" s="234" t="s">
        <v>189</v>
      </c>
      <c r="F74" s="235" t="s">
        <v>208</v>
      </c>
      <c r="G74" s="236">
        <v>2550</v>
      </c>
      <c r="H74" s="237" t="s">
        <v>232</v>
      </c>
    </row>
    <row r="75" spans="1:8" ht="21">
      <c r="A75" s="189"/>
      <c r="B75" s="226" t="s">
        <v>234</v>
      </c>
      <c r="C75" s="188"/>
      <c r="D75" s="227">
        <v>1</v>
      </c>
      <c r="E75" s="228" t="s">
        <v>189</v>
      </c>
      <c r="F75" s="212" t="s">
        <v>208</v>
      </c>
      <c r="G75" s="229">
        <v>2630</v>
      </c>
      <c r="H75" s="231" t="s">
        <v>232</v>
      </c>
    </row>
    <row r="76" spans="1:8" ht="21">
      <c r="A76" s="189"/>
      <c r="B76" s="226" t="s">
        <v>235</v>
      </c>
      <c r="C76" s="188"/>
      <c r="D76" s="227">
        <v>1</v>
      </c>
      <c r="E76" s="228" t="s">
        <v>189</v>
      </c>
      <c r="F76" s="212" t="s">
        <v>208</v>
      </c>
      <c r="G76" s="229">
        <v>2680</v>
      </c>
      <c r="H76" s="231" t="s">
        <v>232</v>
      </c>
    </row>
    <row r="77" spans="1:8" ht="21">
      <c r="A77" s="189"/>
      <c r="B77" s="226" t="s">
        <v>236</v>
      </c>
      <c r="C77" s="188"/>
      <c r="D77" s="227">
        <v>1</v>
      </c>
      <c r="E77" s="228" t="s">
        <v>189</v>
      </c>
      <c r="F77" s="212" t="s">
        <v>208</v>
      </c>
      <c r="G77" s="229">
        <v>2740</v>
      </c>
      <c r="H77" s="231" t="s">
        <v>232</v>
      </c>
    </row>
    <row r="78" spans="1:8" ht="21">
      <c r="A78" s="189"/>
      <c r="B78" s="226" t="s">
        <v>237</v>
      </c>
      <c r="C78" s="188"/>
      <c r="D78" s="227">
        <v>1</v>
      </c>
      <c r="E78" s="228" t="s">
        <v>189</v>
      </c>
      <c r="F78" s="212" t="s">
        <v>208</v>
      </c>
      <c r="G78" s="229">
        <v>2810</v>
      </c>
      <c r="H78" s="231" t="s">
        <v>232</v>
      </c>
    </row>
    <row r="79" spans="1:8" ht="21">
      <c r="A79" s="238"/>
      <c r="B79" s="239"/>
      <c r="C79" s="240"/>
      <c r="D79" s="241"/>
      <c r="E79" s="242"/>
      <c r="F79" s="243"/>
      <c r="G79" s="236"/>
      <c r="H79" s="244"/>
    </row>
    <row r="80" spans="1:8" s="185" customFormat="1" ht="22.5">
      <c r="A80" s="179">
        <v>4</v>
      </c>
      <c r="B80" s="180" t="s">
        <v>238</v>
      </c>
      <c r="C80" s="217"/>
      <c r="D80" s="245"/>
      <c r="E80" s="184"/>
      <c r="F80" s="246"/>
      <c r="G80" s="184"/>
      <c r="H80" s="184"/>
    </row>
    <row r="81" spans="1:8" ht="21">
      <c r="A81" s="208">
        <v>4.1</v>
      </c>
      <c r="B81" s="187" t="s">
        <v>704</v>
      </c>
      <c r="C81" s="188"/>
      <c r="D81" s="227"/>
      <c r="E81" s="228"/>
      <c r="F81" s="212"/>
      <c r="G81" s="191"/>
      <c r="H81" s="191"/>
    </row>
    <row r="82" spans="1:8" ht="20.25">
      <c r="A82" s="189"/>
      <c r="B82" s="192" t="s">
        <v>210</v>
      </c>
      <c r="C82" s="193"/>
      <c r="D82" s="194">
        <v>17</v>
      </c>
      <c r="E82" s="191" t="s">
        <v>201</v>
      </c>
      <c r="F82" s="195">
        <v>2.73</v>
      </c>
      <c r="G82" s="196">
        <f>D82*F82</f>
        <v>46.41</v>
      </c>
      <c r="H82" s="197" t="s">
        <v>202</v>
      </c>
    </row>
    <row r="83" spans="1:8" ht="20.25">
      <c r="A83" s="200"/>
      <c r="B83" s="201" t="s">
        <v>203</v>
      </c>
      <c r="C83" s="202"/>
      <c r="D83" s="247">
        <v>0.04</v>
      </c>
      <c r="E83" s="204" t="s">
        <v>189</v>
      </c>
      <c r="F83" s="248">
        <v>360.32</v>
      </c>
      <c r="G83" s="249">
        <f>D83*F83</f>
        <v>14.4128</v>
      </c>
      <c r="H83" s="204"/>
    </row>
    <row r="84" spans="1:8" ht="20.25">
      <c r="A84" s="209"/>
      <c r="B84" s="250" t="s">
        <v>204</v>
      </c>
      <c r="C84" s="193"/>
      <c r="D84" s="251">
        <v>0.05</v>
      </c>
      <c r="E84" s="211" t="s">
        <v>189</v>
      </c>
      <c r="F84" s="252">
        <v>455.71</v>
      </c>
      <c r="G84" s="253">
        <f>D84*F84</f>
        <v>22.7855</v>
      </c>
      <c r="H84" s="211"/>
    </row>
    <row r="85" spans="1:8" ht="20.25">
      <c r="A85" s="189"/>
      <c r="B85" s="192" t="s">
        <v>205</v>
      </c>
      <c r="C85" s="193"/>
      <c r="D85" s="194">
        <v>10</v>
      </c>
      <c r="E85" s="191" t="s">
        <v>206</v>
      </c>
      <c r="F85" s="199">
        <f>$F$10</f>
        <v>0.003</v>
      </c>
      <c r="G85" s="196">
        <f>D85*F85</f>
        <v>0.03</v>
      </c>
      <c r="H85" s="191"/>
    </row>
    <row r="86" spans="1:8" ht="21">
      <c r="A86" s="215" t="s">
        <v>198</v>
      </c>
      <c r="B86" s="201" t="s">
        <v>198</v>
      </c>
      <c r="C86" s="202" t="s">
        <v>239</v>
      </c>
      <c r="D86" s="203">
        <v>1</v>
      </c>
      <c r="E86" s="204" t="s">
        <v>190</v>
      </c>
      <c r="F86" s="205" t="s">
        <v>208</v>
      </c>
      <c r="G86" s="206">
        <f>SUM(G82:G85)</f>
        <v>83.6383</v>
      </c>
      <c r="H86" s="200" t="s">
        <v>198</v>
      </c>
    </row>
    <row r="87" spans="1:8" ht="21">
      <c r="A87" s="208">
        <v>4.2</v>
      </c>
      <c r="B87" s="187" t="s">
        <v>705</v>
      </c>
      <c r="C87" s="188"/>
      <c r="D87" s="227"/>
      <c r="E87" s="228"/>
      <c r="F87" s="212"/>
      <c r="G87" s="191"/>
      <c r="H87" s="191"/>
    </row>
    <row r="88" spans="1:8" ht="20.25">
      <c r="A88" s="189"/>
      <c r="B88" s="192" t="s">
        <v>210</v>
      </c>
      <c r="C88" s="193"/>
      <c r="D88" s="194">
        <v>17</v>
      </c>
      <c r="E88" s="191" t="s">
        <v>201</v>
      </c>
      <c r="F88" s="195">
        <v>2.73</v>
      </c>
      <c r="G88" s="196">
        <f aca="true" t="shared" si="0" ref="G88:G93">D88*F88</f>
        <v>46.41</v>
      </c>
      <c r="H88" s="197" t="s">
        <v>202</v>
      </c>
    </row>
    <row r="89" spans="1:8" ht="20.25">
      <c r="A89" s="189"/>
      <c r="B89" s="192" t="s">
        <v>203</v>
      </c>
      <c r="C89" s="193"/>
      <c r="D89" s="254">
        <v>0.04</v>
      </c>
      <c r="E89" s="191" t="s">
        <v>189</v>
      </c>
      <c r="F89" s="195">
        <v>360.32</v>
      </c>
      <c r="G89" s="196">
        <f t="shared" si="0"/>
        <v>14.4128</v>
      </c>
      <c r="H89" s="191"/>
    </row>
    <row r="90" spans="1:8" ht="20.25">
      <c r="A90" s="189"/>
      <c r="B90" s="192" t="s">
        <v>204</v>
      </c>
      <c r="C90" s="193"/>
      <c r="D90" s="254">
        <v>0.05</v>
      </c>
      <c r="E90" s="191" t="s">
        <v>189</v>
      </c>
      <c r="F90" s="195">
        <v>455.71</v>
      </c>
      <c r="G90" s="196">
        <f t="shared" si="0"/>
        <v>22.7855</v>
      </c>
      <c r="H90" s="191"/>
    </row>
    <row r="91" spans="1:8" ht="20.25">
      <c r="A91" s="189"/>
      <c r="B91" s="192" t="s">
        <v>240</v>
      </c>
      <c r="C91" s="193"/>
      <c r="D91" s="254">
        <v>2.22</v>
      </c>
      <c r="E91" s="191" t="s">
        <v>201</v>
      </c>
      <c r="F91" s="255">
        <v>20.76</v>
      </c>
      <c r="G91" s="256">
        <f t="shared" si="0"/>
        <v>46.08720000000001</v>
      </c>
      <c r="H91" s="191"/>
    </row>
    <row r="92" spans="1:8" ht="20.25">
      <c r="A92" s="189"/>
      <c r="B92" s="192" t="s">
        <v>241</v>
      </c>
      <c r="C92" s="193"/>
      <c r="D92" s="198">
        <v>0.07</v>
      </c>
      <c r="E92" s="191" t="s">
        <v>201</v>
      </c>
      <c r="F92" s="257">
        <v>26.35</v>
      </c>
      <c r="G92" s="256">
        <f t="shared" si="0"/>
        <v>1.8445000000000003</v>
      </c>
      <c r="H92" s="191"/>
    </row>
    <row r="93" spans="1:8" ht="20.25">
      <c r="A93" s="189"/>
      <c r="B93" s="192" t="s">
        <v>205</v>
      </c>
      <c r="C93" s="193"/>
      <c r="D93" s="194">
        <v>10</v>
      </c>
      <c r="E93" s="191" t="s">
        <v>206</v>
      </c>
      <c r="F93" s="199">
        <f>$F$10</f>
        <v>0.003</v>
      </c>
      <c r="G93" s="196">
        <f t="shared" si="0"/>
        <v>0.03</v>
      </c>
      <c r="H93" s="191"/>
    </row>
    <row r="94" spans="1:8" ht="21">
      <c r="A94" s="215" t="s">
        <v>198</v>
      </c>
      <c r="B94" s="201" t="s">
        <v>198</v>
      </c>
      <c r="C94" s="202" t="s">
        <v>242</v>
      </c>
      <c r="D94" s="203">
        <v>1</v>
      </c>
      <c r="E94" s="204" t="s">
        <v>190</v>
      </c>
      <c r="F94" s="205" t="s">
        <v>208</v>
      </c>
      <c r="G94" s="206">
        <f>SUM(G88:G93)</f>
        <v>131.57000000000002</v>
      </c>
      <c r="H94" s="200" t="s">
        <v>198</v>
      </c>
    </row>
    <row r="95" spans="1:8" ht="21">
      <c r="A95" s="208">
        <v>4.3</v>
      </c>
      <c r="B95" s="187" t="s">
        <v>706</v>
      </c>
      <c r="C95" s="188"/>
      <c r="D95" s="227"/>
      <c r="E95" s="228"/>
      <c r="F95" s="212"/>
      <c r="G95" s="191"/>
      <c r="H95" s="191"/>
    </row>
    <row r="96" spans="1:8" ht="20.25">
      <c r="A96" s="189"/>
      <c r="B96" s="192" t="s">
        <v>210</v>
      </c>
      <c r="C96" s="193"/>
      <c r="D96" s="194">
        <v>17</v>
      </c>
      <c r="E96" s="191" t="s">
        <v>201</v>
      </c>
      <c r="F96" s="195">
        <v>2.73</v>
      </c>
      <c r="G96" s="196">
        <f aca="true" t="shared" si="1" ref="G96:G101">D96*F96</f>
        <v>46.41</v>
      </c>
      <c r="H96" s="197" t="s">
        <v>202</v>
      </c>
    </row>
    <row r="97" spans="1:8" ht="20.25">
      <c r="A97" s="189"/>
      <c r="B97" s="192" t="s">
        <v>203</v>
      </c>
      <c r="C97" s="193"/>
      <c r="D97" s="254">
        <v>0.04</v>
      </c>
      <c r="E97" s="191" t="s">
        <v>189</v>
      </c>
      <c r="F97" s="195">
        <v>360.32</v>
      </c>
      <c r="G97" s="196">
        <f t="shared" si="1"/>
        <v>14.4128</v>
      </c>
      <c r="H97" s="191"/>
    </row>
    <row r="98" spans="1:8" ht="20.25">
      <c r="A98" s="189"/>
      <c r="B98" s="192" t="s">
        <v>204</v>
      </c>
      <c r="C98" s="193"/>
      <c r="D98" s="254">
        <v>0.05</v>
      </c>
      <c r="E98" s="191" t="s">
        <v>189</v>
      </c>
      <c r="F98" s="195">
        <v>455.71</v>
      </c>
      <c r="G98" s="196">
        <f t="shared" si="1"/>
        <v>22.7855</v>
      </c>
      <c r="H98" s="191"/>
    </row>
    <row r="99" spans="1:8" ht="20.25">
      <c r="A99" s="189"/>
      <c r="B99" s="192" t="s">
        <v>243</v>
      </c>
      <c r="C99" s="193"/>
      <c r="D99" s="254">
        <v>4.99</v>
      </c>
      <c r="E99" s="191" t="s">
        <v>201</v>
      </c>
      <c r="F99" s="255">
        <v>19.76</v>
      </c>
      <c r="G99" s="256">
        <f t="shared" si="1"/>
        <v>98.60240000000002</v>
      </c>
      <c r="H99" s="191"/>
    </row>
    <row r="100" spans="1:8" ht="20.25">
      <c r="A100" s="189"/>
      <c r="B100" s="192" t="s">
        <v>241</v>
      </c>
      <c r="C100" s="193"/>
      <c r="D100" s="198">
        <v>0.07</v>
      </c>
      <c r="E100" s="191" t="s">
        <v>201</v>
      </c>
      <c r="F100" s="257">
        <v>26.35</v>
      </c>
      <c r="G100" s="256">
        <f t="shared" si="1"/>
        <v>1.8445000000000003</v>
      </c>
      <c r="H100" s="191"/>
    </row>
    <row r="101" spans="1:8" ht="20.25">
      <c r="A101" s="189"/>
      <c r="B101" s="192" t="s">
        <v>205</v>
      </c>
      <c r="C101" s="193"/>
      <c r="D101" s="194">
        <v>10</v>
      </c>
      <c r="E101" s="191" t="s">
        <v>206</v>
      </c>
      <c r="F101" s="199">
        <f>$F$10</f>
        <v>0.003</v>
      </c>
      <c r="G101" s="196">
        <f t="shared" si="1"/>
        <v>0.03</v>
      </c>
      <c r="H101" s="191"/>
    </row>
    <row r="102" spans="1:8" ht="26.25" customHeight="1">
      <c r="A102" s="258" t="s">
        <v>198</v>
      </c>
      <c r="B102" s="259" t="s">
        <v>198</v>
      </c>
      <c r="C102" s="260" t="s">
        <v>242</v>
      </c>
      <c r="D102" s="261">
        <v>1</v>
      </c>
      <c r="E102" s="262" t="s">
        <v>190</v>
      </c>
      <c r="F102" s="263" t="s">
        <v>208</v>
      </c>
      <c r="G102" s="264">
        <f>SUM(G96:G101)</f>
        <v>184.08520000000004</v>
      </c>
      <c r="H102" s="265" t="s">
        <v>198</v>
      </c>
    </row>
    <row r="103" spans="1:8" ht="21.75" customHeight="1">
      <c r="A103" s="215"/>
      <c r="B103" s="201"/>
      <c r="C103" s="202"/>
      <c r="D103" s="203"/>
      <c r="E103" s="204"/>
      <c r="F103" s="205"/>
      <c r="G103" s="206"/>
      <c r="H103" s="200"/>
    </row>
    <row r="104" spans="1:8" s="185" customFormat="1" ht="21.75">
      <c r="A104" s="266">
        <v>5</v>
      </c>
      <c r="B104" s="267" t="s">
        <v>244</v>
      </c>
      <c r="C104" s="268"/>
      <c r="D104" s="269"/>
      <c r="E104" s="270"/>
      <c r="F104" s="271"/>
      <c r="G104" s="270"/>
      <c r="H104" s="270"/>
    </row>
    <row r="105" spans="1:8" ht="21">
      <c r="A105" s="208">
        <v>5.1</v>
      </c>
      <c r="B105" s="187" t="s">
        <v>707</v>
      </c>
      <c r="C105" s="188"/>
      <c r="D105" s="194"/>
      <c r="E105" s="191"/>
      <c r="F105" s="212"/>
      <c r="G105" s="191"/>
      <c r="H105" s="191"/>
    </row>
    <row r="106" spans="1:8" ht="20.25">
      <c r="A106" s="189"/>
      <c r="B106" s="192" t="s">
        <v>245</v>
      </c>
      <c r="C106" s="193"/>
      <c r="D106" s="198">
        <v>3.36</v>
      </c>
      <c r="E106" s="191" t="s">
        <v>201</v>
      </c>
      <c r="F106" s="195">
        <v>2.34</v>
      </c>
      <c r="G106" s="256">
        <f aca="true" t="shared" si="2" ref="G106:G113">D106*F106</f>
        <v>7.862399999999999</v>
      </c>
      <c r="H106" s="189" t="s">
        <v>198</v>
      </c>
    </row>
    <row r="107" spans="1:8" ht="20.25">
      <c r="A107" s="189"/>
      <c r="B107" s="192" t="s">
        <v>203</v>
      </c>
      <c r="C107" s="193"/>
      <c r="D107" s="254">
        <v>0.01</v>
      </c>
      <c r="E107" s="191" t="s">
        <v>189</v>
      </c>
      <c r="F107" s="195">
        <v>360.32</v>
      </c>
      <c r="G107" s="256">
        <f t="shared" si="2"/>
        <v>3.6032</v>
      </c>
      <c r="H107" s="191"/>
    </row>
    <row r="108" spans="1:8" ht="20.25">
      <c r="A108" s="189"/>
      <c r="B108" s="192" t="s">
        <v>204</v>
      </c>
      <c r="C108" s="193"/>
      <c r="D108" s="254">
        <v>0.02</v>
      </c>
      <c r="E108" s="191" t="s">
        <v>189</v>
      </c>
      <c r="F108" s="195">
        <v>455.71</v>
      </c>
      <c r="G108" s="256">
        <f t="shared" si="2"/>
        <v>9.1142</v>
      </c>
      <c r="H108" s="191"/>
    </row>
    <row r="109" spans="1:8" ht="20.25">
      <c r="A109" s="189"/>
      <c r="B109" s="192" t="s">
        <v>205</v>
      </c>
      <c r="C109" s="188"/>
      <c r="D109" s="198">
        <v>1.8</v>
      </c>
      <c r="E109" s="191" t="s">
        <v>206</v>
      </c>
      <c r="F109" s="199">
        <v>0.0164</v>
      </c>
      <c r="G109" s="256">
        <f t="shared" si="2"/>
        <v>0.029520000000000005</v>
      </c>
      <c r="H109" s="191"/>
    </row>
    <row r="110" spans="1:8" ht="20.25">
      <c r="A110" s="209"/>
      <c r="B110" s="250" t="s">
        <v>246</v>
      </c>
      <c r="C110" s="193"/>
      <c r="D110" s="251">
        <v>0.165</v>
      </c>
      <c r="E110" s="211" t="s">
        <v>190</v>
      </c>
      <c r="F110" s="272">
        <v>395</v>
      </c>
      <c r="G110" s="273">
        <f t="shared" si="2"/>
        <v>65.175</v>
      </c>
      <c r="H110" s="211"/>
    </row>
    <row r="111" spans="1:8" ht="20.25">
      <c r="A111" s="189"/>
      <c r="B111" s="192" t="s">
        <v>240</v>
      </c>
      <c r="C111" s="193"/>
      <c r="D111" s="254">
        <v>0.16</v>
      </c>
      <c r="E111" s="191" t="s">
        <v>201</v>
      </c>
      <c r="F111" s="255">
        <v>22.88</v>
      </c>
      <c r="G111" s="256">
        <f t="shared" si="2"/>
        <v>3.6608</v>
      </c>
      <c r="H111" s="191"/>
    </row>
    <row r="112" spans="1:8" ht="20.25">
      <c r="A112" s="189"/>
      <c r="B112" s="192" t="s">
        <v>243</v>
      </c>
      <c r="C112" s="193"/>
      <c r="D112" s="254">
        <v>1.07</v>
      </c>
      <c r="E112" s="191" t="s">
        <v>201</v>
      </c>
      <c r="F112" s="255">
        <v>21.98</v>
      </c>
      <c r="G112" s="256">
        <f t="shared" si="2"/>
        <v>23.518600000000003</v>
      </c>
      <c r="H112" s="191"/>
    </row>
    <row r="113" spans="1:8" ht="20.25">
      <c r="A113" s="189"/>
      <c r="B113" s="192" t="s">
        <v>241</v>
      </c>
      <c r="C113" s="193"/>
      <c r="D113" s="198">
        <v>0.07</v>
      </c>
      <c r="E113" s="191" t="s">
        <v>201</v>
      </c>
      <c r="F113" s="257">
        <v>26.35</v>
      </c>
      <c r="G113" s="256">
        <f t="shared" si="2"/>
        <v>1.8445000000000003</v>
      </c>
      <c r="H113" s="191"/>
    </row>
    <row r="114" spans="1:8" ht="21">
      <c r="A114" s="258" t="s">
        <v>198</v>
      </c>
      <c r="B114" s="259" t="s">
        <v>198</v>
      </c>
      <c r="C114" s="260" t="s">
        <v>247</v>
      </c>
      <c r="D114" s="261">
        <v>1</v>
      </c>
      <c r="E114" s="262" t="s">
        <v>192</v>
      </c>
      <c r="F114" s="263" t="s">
        <v>208</v>
      </c>
      <c r="G114" s="264">
        <f>SUM(G106:G113)</f>
        <v>114.80821999999999</v>
      </c>
      <c r="H114" s="274" t="s">
        <v>209</v>
      </c>
    </row>
    <row r="115" spans="1:8" ht="21">
      <c r="A115" s="215"/>
      <c r="B115" s="201"/>
      <c r="C115" s="202"/>
      <c r="D115" s="203"/>
      <c r="E115" s="204"/>
      <c r="F115" s="205"/>
      <c r="G115" s="206"/>
      <c r="H115" s="207"/>
    </row>
    <row r="116" spans="1:8" s="185" customFormat="1" ht="21.75">
      <c r="A116" s="266">
        <v>6</v>
      </c>
      <c r="B116" s="267" t="s">
        <v>248</v>
      </c>
      <c r="C116" s="268"/>
      <c r="D116" s="269"/>
      <c r="E116" s="270"/>
      <c r="F116" s="271"/>
      <c r="G116" s="275"/>
      <c r="H116" s="276"/>
    </row>
    <row r="117" spans="1:8" ht="21">
      <c r="A117" s="186">
        <v>6.1</v>
      </c>
      <c r="B117" s="187" t="s">
        <v>249</v>
      </c>
      <c r="C117" s="188"/>
      <c r="D117" s="194"/>
      <c r="E117" s="191"/>
      <c r="F117" s="212"/>
      <c r="G117" s="277"/>
      <c r="H117" s="189"/>
    </row>
    <row r="118" spans="1:8" ht="20.25">
      <c r="A118" s="277"/>
      <c r="B118" s="192" t="s">
        <v>250</v>
      </c>
      <c r="C118" s="193"/>
      <c r="D118" s="198">
        <v>5.24</v>
      </c>
      <c r="E118" s="191" t="s">
        <v>206</v>
      </c>
      <c r="F118" s="278">
        <v>30</v>
      </c>
      <c r="G118" s="279">
        <f>D118*F118</f>
        <v>157.20000000000002</v>
      </c>
      <c r="H118" s="189"/>
    </row>
    <row r="119" spans="1:8" ht="21">
      <c r="A119" s="258"/>
      <c r="B119" s="259"/>
      <c r="C119" s="260" t="s">
        <v>251</v>
      </c>
      <c r="D119" s="261">
        <v>1</v>
      </c>
      <c r="E119" s="262" t="s">
        <v>189</v>
      </c>
      <c r="F119" s="263" t="s">
        <v>208</v>
      </c>
      <c r="G119" s="280">
        <f>SUM(G118)</f>
        <v>157.20000000000002</v>
      </c>
      <c r="H119" s="274" t="s">
        <v>209</v>
      </c>
    </row>
    <row r="120" spans="1:8" ht="21">
      <c r="A120" s="215"/>
      <c r="B120" s="201"/>
      <c r="C120" s="202"/>
      <c r="D120" s="203"/>
      <c r="E120" s="204"/>
      <c r="F120" s="205"/>
      <c r="G120" s="281"/>
      <c r="H120" s="207"/>
    </row>
    <row r="121" spans="1:8" s="185" customFormat="1" ht="22.5">
      <c r="A121" s="219">
        <v>7</v>
      </c>
      <c r="B121" s="220" t="s">
        <v>252</v>
      </c>
      <c r="C121" s="221"/>
      <c r="D121" s="222"/>
      <c r="E121" s="222"/>
      <c r="F121" s="223"/>
      <c r="G121" s="224" t="s">
        <v>198</v>
      </c>
      <c r="H121" s="225" t="s">
        <v>253</v>
      </c>
    </row>
    <row r="122" spans="1:8" ht="21">
      <c r="A122" s="208">
        <v>7.1</v>
      </c>
      <c r="B122" s="187" t="s">
        <v>254</v>
      </c>
      <c r="C122" s="240"/>
      <c r="D122" s="209"/>
      <c r="E122" s="209"/>
      <c r="F122" s="210"/>
      <c r="G122" s="211" t="s">
        <v>198</v>
      </c>
      <c r="H122" s="225" t="s">
        <v>255</v>
      </c>
    </row>
    <row r="123" spans="1:8" ht="20.25">
      <c r="A123" s="200"/>
      <c r="B123" s="201" t="s">
        <v>256</v>
      </c>
      <c r="C123" s="202"/>
      <c r="D123" s="203">
        <v>138</v>
      </c>
      <c r="E123" s="204" t="s">
        <v>257</v>
      </c>
      <c r="F123" s="248">
        <v>1.27</v>
      </c>
      <c r="G123" s="282">
        <f>D123*F123</f>
        <v>175.26</v>
      </c>
      <c r="H123" s="200"/>
    </row>
    <row r="124" spans="1:8" ht="20.25">
      <c r="A124" s="209"/>
      <c r="B124" s="250" t="s">
        <v>245</v>
      </c>
      <c r="C124" s="193"/>
      <c r="D124" s="283">
        <v>16.01</v>
      </c>
      <c r="E124" s="211" t="s">
        <v>201</v>
      </c>
      <c r="F124" s="252">
        <v>2.99</v>
      </c>
      <c r="G124" s="273">
        <f>D124*F124</f>
        <v>47.86990000000001</v>
      </c>
      <c r="H124" s="225" t="s">
        <v>198</v>
      </c>
    </row>
    <row r="125" spans="1:8" ht="20.25">
      <c r="A125" s="189"/>
      <c r="B125" s="192" t="s">
        <v>258</v>
      </c>
      <c r="C125" s="193"/>
      <c r="D125" s="198">
        <v>10.29</v>
      </c>
      <c r="E125" s="191" t="s">
        <v>201</v>
      </c>
      <c r="F125" s="195"/>
      <c r="G125" s="256">
        <f>D125*F125</f>
        <v>0</v>
      </c>
      <c r="H125" s="189"/>
    </row>
    <row r="126" spans="1:8" ht="20.25">
      <c r="A126" s="189"/>
      <c r="B126" s="192" t="s">
        <v>203</v>
      </c>
      <c r="C126" s="193"/>
      <c r="D126" s="198">
        <v>0.05</v>
      </c>
      <c r="E126" s="191" t="s">
        <v>189</v>
      </c>
      <c r="F126" s="195">
        <v>420.56</v>
      </c>
      <c r="G126" s="256">
        <f>D126*F126</f>
        <v>21.028000000000002</v>
      </c>
      <c r="H126" s="189"/>
    </row>
    <row r="127" spans="1:8" ht="20.25">
      <c r="A127" s="189"/>
      <c r="B127" s="192" t="s">
        <v>205</v>
      </c>
      <c r="C127" s="193"/>
      <c r="D127" s="194">
        <v>10</v>
      </c>
      <c r="E127" s="191" t="s">
        <v>206</v>
      </c>
      <c r="F127" s="199">
        <v>0.003</v>
      </c>
      <c r="G127" s="256">
        <f>D127*F127</f>
        <v>0.03</v>
      </c>
      <c r="H127" s="189"/>
    </row>
    <row r="128" spans="1:8" ht="21">
      <c r="A128" s="200"/>
      <c r="B128" s="201"/>
      <c r="C128" s="202" t="s">
        <v>259</v>
      </c>
      <c r="D128" s="203">
        <v>1</v>
      </c>
      <c r="E128" s="204" t="s">
        <v>190</v>
      </c>
      <c r="F128" s="205" t="s">
        <v>208</v>
      </c>
      <c r="G128" s="206">
        <f>SUM(G123:G127)</f>
        <v>244.18789999999998</v>
      </c>
      <c r="H128" s="207" t="s">
        <v>209</v>
      </c>
    </row>
    <row r="129" spans="1:8" ht="21">
      <c r="A129" s="208">
        <v>7.2</v>
      </c>
      <c r="B129" s="187" t="s">
        <v>260</v>
      </c>
      <c r="C129" s="268"/>
      <c r="D129" s="209"/>
      <c r="E129" s="209"/>
      <c r="F129" s="210"/>
      <c r="G129" s="211" t="s">
        <v>198</v>
      </c>
      <c r="H129" s="189"/>
    </row>
    <row r="130" spans="1:8" ht="20.25">
      <c r="A130" s="189"/>
      <c r="B130" s="192" t="s">
        <v>261</v>
      </c>
      <c r="C130" s="193"/>
      <c r="D130" s="194">
        <v>276</v>
      </c>
      <c r="E130" s="191" t="s">
        <v>257</v>
      </c>
      <c r="F130" s="195">
        <v>0.58</v>
      </c>
      <c r="G130" s="256">
        <f>D130*F130</f>
        <v>160.07999999999998</v>
      </c>
      <c r="H130" s="189"/>
    </row>
    <row r="131" spans="1:8" ht="20.25">
      <c r="A131" s="189"/>
      <c r="B131" s="192" t="s">
        <v>245</v>
      </c>
      <c r="C131" s="193"/>
      <c r="D131" s="198">
        <v>34</v>
      </c>
      <c r="E131" s="191" t="s">
        <v>201</v>
      </c>
      <c r="F131" s="195">
        <v>2.34</v>
      </c>
      <c r="G131" s="256">
        <f>D131*F131</f>
        <v>79.56</v>
      </c>
      <c r="H131" s="230" t="s">
        <v>198</v>
      </c>
    </row>
    <row r="132" spans="1:8" ht="20.25">
      <c r="A132" s="189"/>
      <c r="B132" s="192" t="s">
        <v>258</v>
      </c>
      <c r="C132" s="193"/>
      <c r="D132" s="198">
        <v>20.59</v>
      </c>
      <c r="E132" s="191" t="s">
        <v>201</v>
      </c>
      <c r="F132" s="195">
        <v>2</v>
      </c>
      <c r="G132" s="256">
        <f>D132*F132</f>
        <v>41.18</v>
      </c>
      <c r="H132" s="189"/>
    </row>
    <row r="133" spans="1:8" ht="20.25">
      <c r="A133" s="189"/>
      <c r="B133" s="192" t="s">
        <v>203</v>
      </c>
      <c r="C133" s="193"/>
      <c r="D133" s="198">
        <v>0.12</v>
      </c>
      <c r="E133" s="191" t="s">
        <v>189</v>
      </c>
      <c r="F133" s="195">
        <v>360.32</v>
      </c>
      <c r="G133" s="256">
        <f>D133*F133</f>
        <v>43.2384</v>
      </c>
      <c r="H133" s="189"/>
    </row>
    <row r="134" spans="1:8" ht="20.25">
      <c r="A134" s="189"/>
      <c r="B134" s="192" t="s">
        <v>205</v>
      </c>
      <c r="C134" s="193"/>
      <c r="D134" s="194">
        <v>20</v>
      </c>
      <c r="E134" s="191" t="s">
        <v>206</v>
      </c>
      <c r="F134" s="199">
        <v>0.0164</v>
      </c>
      <c r="G134" s="256">
        <f>D134*F134</f>
        <v>0.328</v>
      </c>
      <c r="H134" s="189"/>
    </row>
    <row r="135" spans="1:8" ht="21">
      <c r="A135" s="200"/>
      <c r="B135" s="201"/>
      <c r="C135" s="202" t="s">
        <v>259</v>
      </c>
      <c r="D135" s="203">
        <v>1</v>
      </c>
      <c r="E135" s="204" t="s">
        <v>190</v>
      </c>
      <c r="F135" s="205" t="s">
        <v>208</v>
      </c>
      <c r="G135" s="206">
        <f>SUM(G130:G134)</f>
        <v>324.3864</v>
      </c>
      <c r="H135" s="207" t="s">
        <v>209</v>
      </c>
    </row>
    <row r="136" spans="1:8" ht="21">
      <c r="A136" s="208">
        <v>7.3</v>
      </c>
      <c r="B136" s="187" t="s">
        <v>262</v>
      </c>
      <c r="C136" s="268"/>
      <c r="D136" s="209"/>
      <c r="E136" s="209"/>
      <c r="F136" s="210"/>
      <c r="G136" s="211" t="s">
        <v>198</v>
      </c>
      <c r="H136" s="189"/>
    </row>
    <row r="137" spans="1:8" ht="20.25">
      <c r="A137" s="189"/>
      <c r="B137" s="192" t="s">
        <v>263</v>
      </c>
      <c r="C137" s="193"/>
      <c r="D137" s="194">
        <v>139.7</v>
      </c>
      <c r="E137" s="191" t="s">
        <v>257</v>
      </c>
      <c r="F137" s="195">
        <v>0.51</v>
      </c>
      <c r="G137" s="256">
        <f>D137*F137</f>
        <v>71.247</v>
      </c>
      <c r="H137" s="189"/>
    </row>
    <row r="138" spans="1:8" ht="20.25">
      <c r="A138" s="189"/>
      <c r="B138" s="192" t="s">
        <v>245</v>
      </c>
      <c r="C138" s="193"/>
      <c r="D138" s="198">
        <v>16</v>
      </c>
      <c r="E138" s="191" t="s">
        <v>201</v>
      </c>
      <c r="F138" s="195">
        <v>2.34</v>
      </c>
      <c r="G138" s="256">
        <f>D138*F138</f>
        <v>37.44</v>
      </c>
      <c r="H138" s="230" t="s">
        <v>198</v>
      </c>
    </row>
    <row r="139" spans="1:8" ht="20.25">
      <c r="A139" s="189"/>
      <c r="B139" s="192" t="s">
        <v>258</v>
      </c>
      <c r="C139" s="193"/>
      <c r="D139" s="198">
        <v>10.29</v>
      </c>
      <c r="E139" s="191" t="s">
        <v>201</v>
      </c>
      <c r="F139" s="195">
        <v>2</v>
      </c>
      <c r="G139" s="256">
        <f>D139*F139</f>
        <v>20.58</v>
      </c>
      <c r="H139" s="189"/>
    </row>
    <row r="140" spans="1:8" ht="20.25">
      <c r="A140" s="189"/>
      <c r="B140" s="192" t="s">
        <v>203</v>
      </c>
      <c r="C140" s="193"/>
      <c r="D140" s="198">
        <v>0.05</v>
      </c>
      <c r="E140" s="191" t="s">
        <v>189</v>
      </c>
      <c r="F140" s="195">
        <v>360.32</v>
      </c>
      <c r="G140" s="256">
        <f>D140*F140</f>
        <v>18.016000000000002</v>
      </c>
      <c r="H140" s="189"/>
    </row>
    <row r="141" spans="1:8" ht="20.25">
      <c r="A141" s="189"/>
      <c r="B141" s="192" t="s">
        <v>205</v>
      </c>
      <c r="C141" s="193"/>
      <c r="D141" s="194">
        <v>10</v>
      </c>
      <c r="E141" s="191" t="s">
        <v>206</v>
      </c>
      <c r="F141" s="199">
        <v>0.0164</v>
      </c>
      <c r="G141" s="256">
        <f>D141*F141</f>
        <v>0.164</v>
      </c>
      <c r="H141" s="189"/>
    </row>
    <row r="142" spans="1:8" ht="21">
      <c r="A142" s="200"/>
      <c r="B142" s="201"/>
      <c r="C142" s="202" t="s">
        <v>264</v>
      </c>
      <c r="D142" s="203">
        <v>1</v>
      </c>
      <c r="E142" s="204" t="s">
        <v>190</v>
      </c>
      <c r="F142" s="205" t="s">
        <v>208</v>
      </c>
      <c r="G142" s="206">
        <f>SUM(G137:G141)</f>
        <v>147.44699999999997</v>
      </c>
      <c r="H142" s="207" t="s">
        <v>209</v>
      </c>
    </row>
    <row r="143" spans="1:8" ht="21">
      <c r="A143" s="208">
        <v>7.4</v>
      </c>
      <c r="B143" s="284" t="s">
        <v>265</v>
      </c>
      <c r="C143" s="268"/>
      <c r="D143" s="209"/>
      <c r="E143" s="209"/>
      <c r="F143" s="210"/>
      <c r="G143" s="211" t="s">
        <v>198</v>
      </c>
      <c r="H143" s="209"/>
    </row>
    <row r="144" spans="1:8" ht="20.25">
      <c r="A144" s="189"/>
      <c r="B144" s="192" t="s">
        <v>263</v>
      </c>
      <c r="C144" s="193"/>
      <c r="D144" s="194">
        <v>279.4</v>
      </c>
      <c r="E144" s="191" t="s">
        <v>257</v>
      </c>
      <c r="F144" s="195">
        <v>0.51</v>
      </c>
      <c r="G144" s="256">
        <f>D144*F144</f>
        <v>142.494</v>
      </c>
      <c r="H144" s="189"/>
    </row>
    <row r="145" spans="1:8" ht="20.25">
      <c r="A145" s="189"/>
      <c r="B145" s="192" t="s">
        <v>245</v>
      </c>
      <c r="C145" s="193"/>
      <c r="D145" s="198">
        <v>34</v>
      </c>
      <c r="E145" s="191" t="s">
        <v>201</v>
      </c>
      <c r="F145" s="195">
        <v>2.34</v>
      </c>
      <c r="G145" s="256">
        <f>D145*F145</f>
        <v>79.56</v>
      </c>
      <c r="H145" s="230" t="s">
        <v>198</v>
      </c>
    </row>
    <row r="146" spans="1:8" ht="20.25">
      <c r="A146" s="189"/>
      <c r="B146" s="192" t="s">
        <v>258</v>
      </c>
      <c r="C146" s="193"/>
      <c r="D146" s="198">
        <v>20.59</v>
      </c>
      <c r="E146" s="191" t="s">
        <v>201</v>
      </c>
      <c r="F146" s="195">
        <v>2</v>
      </c>
      <c r="G146" s="256">
        <f>D146*F146</f>
        <v>41.18</v>
      </c>
      <c r="H146" s="189"/>
    </row>
    <row r="147" spans="1:8" ht="20.25">
      <c r="A147" s="189"/>
      <c r="B147" s="192" t="s">
        <v>203</v>
      </c>
      <c r="C147" s="188"/>
      <c r="D147" s="198">
        <v>0.12</v>
      </c>
      <c r="E147" s="191" t="s">
        <v>189</v>
      </c>
      <c r="F147" s="195">
        <v>360.32</v>
      </c>
      <c r="G147" s="256">
        <f>D147*F147</f>
        <v>43.2384</v>
      </c>
      <c r="H147" s="189"/>
    </row>
    <row r="148" spans="1:8" ht="20.25">
      <c r="A148" s="209"/>
      <c r="B148" s="250" t="s">
        <v>205</v>
      </c>
      <c r="C148" s="193"/>
      <c r="D148" s="285">
        <v>20</v>
      </c>
      <c r="E148" s="211" t="s">
        <v>206</v>
      </c>
      <c r="F148" s="286">
        <v>0.0164</v>
      </c>
      <c r="G148" s="273">
        <f>D148*F148</f>
        <v>0.328</v>
      </c>
      <c r="H148" s="209"/>
    </row>
    <row r="149" spans="1:8" ht="21">
      <c r="A149" s="200"/>
      <c r="B149" s="201"/>
      <c r="C149" s="202" t="s">
        <v>266</v>
      </c>
      <c r="D149" s="203">
        <v>1</v>
      </c>
      <c r="E149" s="204" t="s">
        <v>190</v>
      </c>
      <c r="F149" s="205" t="s">
        <v>208</v>
      </c>
      <c r="G149" s="206">
        <f>SUM(G144:G148)</f>
        <v>306.80039999999997</v>
      </c>
      <c r="H149" s="207" t="s">
        <v>209</v>
      </c>
    </row>
    <row r="150" spans="1:8" ht="21">
      <c r="A150" s="208">
        <v>7.5</v>
      </c>
      <c r="B150" s="187" t="s">
        <v>267</v>
      </c>
      <c r="C150" s="268"/>
      <c r="D150" s="209"/>
      <c r="E150" s="209"/>
      <c r="F150" s="210"/>
      <c r="G150" s="211" t="s">
        <v>198</v>
      </c>
      <c r="H150" s="189"/>
    </row>
    <row r="151" spans="1:8" ht="20.25">
      <c r="A151" s="189"/>
      <c r="B151" s="192" t="s">
        <v>268</v>
      </c>
      <c r="C151" s="193"/>
      <c r="D151" s="194">
        <v>60</v>
      </c>
      <c r="E151" s="191" t="s">
        <v>257</v>
      </c>
      <c r="F151" s="195">
        <v>26</v>
      </c>
      <c r="G151" s="256">
        <f>D151*F151</f>
        <v>1560</v>
      </c>
      <c r="H151" s="189"/>
    </row>
    <row r="152" spans="1:8" ht="20.25">
      <c r="A152" s="189"/>
      <c r="B152" s="192" t="s">
        <v>245</v>
      </c>
      <c r="C152" s="193"/>
      <c r="D152" s="198">
        <v>5.5</v>
      </c>
      <c r="E152" s="191" t="s">
        <v>201</v>
      </c>
      <c r="F152" s="195">
        <v>2.34</v>
      </c>
      <c r="G152" s="256">
        <f>D152*F152</f>
        <v>12.87</v>
      </c>
      <c r="H152" s="230" t="s">
        <v>198</v>
      </c>
    </row>
    <row r="153" spans="1:8" ht="20.25">
      <c r="A153" s="189"/>
      <c r="B153" s="192" t="s">
        <v>258</v>
      </c>
      <c r="C153" s="193"/>
      <c r="D153" s="198">
        <v>3</v>
      </c>
      <c r="E153" s="191" t="s">
        <v>201</v>
      </c>
      <c r="F153" s="195">
        <v>2</v>
      </c>
      <c r="G153" s="256">
        <f>D153*F153</f>
        <v>6</v>
      </c>
      <c r="H153" s="189"/>
    </row>
    <row r="154" spans="1:8" ht="20.25">
      <c r="A154" s="189"/>
      <c r="B154" s="192" t="s">
        <v>203</v>
      </c>
      <c r="C154" s="193"/>
      <c r="D154" s="198">
        <v>0.03</v>
      </c>
      <c r="E154" s="191" t="s">
        <v>189</v>
      </c>
      <c r="F154" s="195">
        <v>360.32</v>
      </c>
      <c r="G154" s="256">
        <f>D154*F154</f>
        <v>10.8096</v>
      </c>
      <c r="H154" s="189"/>
    </row>
    <row r="155" spans="1:8" ht="20.25">
      <c r="A155" s="189"/>
      <c r="B155" s="192" t="s">
        <v>205</v>
      </c>
      <c r="C155" s="193"/>
      <c r="D155" s="194">
        <v>10</v>
      </c>
      <c r="E155" s="191" t="s">
        <v>206</v>
      </c>
      <c r="F155" s="199">
        <v>0.0164</v>
      </c>
      <c r="G155" s="256">
        <f>D155*F155</f>
        <v>0.164</v>
      </c>
      <c r="H155" s="189"/>
    </row>
    <row r="156" spans="1:8" ht="21">
      <c r="A156" s="200"/>
      <c r="B156" s="201"/>
      <c r="C156" s="202" t="s">
        <v>269</v>
      </c>
      <c r="D156" s="203">
        <v>1</v>
      </c>
      <c r="E156" s="204" t="s">
        <v>190</v>
      </c>
      <c r="F156" s="205" t="s">
        <v>208</v>
      </c>
      <c r="G156" s="206">
        <f>SUM(G151:G155)</f>
        <v>1589.8436</v>
      </c>
      <c r="H156" s="207" t="s">
        <v>209</v>
      </c>
    </row>
    <row r="157" spans="1:8" ht="21">
      <c r="A157" s="208">
        <v>7.6</v>
      </c>
      <c r="B157" s="187" t="s">
        <v>270</v>
      </c>
      <c r="C157" s="268"/>
      <c r="D157" s="209"/>
      <c r="E157" s="209"/>
      <c r="F157" s="210"/>
      <c r="G157" s="211" t="s">
        <v>198</v>
      </c>
      <c r="H157" s="189"/>
    </row>
    <row r="158" spans="1:8" ht="20.25">
      <c r="A158" s="189"/>
      <c r="B158" s="192" t="s">
        <v>271</v>
      </c>
      <c r="C158" s="193"/>
      <c r="D158" s="194">
        <v>13</v>
      </c>
      <c r="E158" s="191" t="s">
        <v>257</v>
      </c>
      <c r="F158" s="195">
        <v>4.5</v>
      </c>
      <c r="G158" s="256">
        <f>D158*F158</f>
        <v>58.5</v>
      </c>
      <c r="H158" s="189"/>
    </row>
    <row r="159" spans="1:8" ht="20.25">
      <c r="A159" s="189"/>
      <c r="B159" s="192" t="s">
        <v>245</v>
      </c>
      <c r="C159" s="193"/>
      <c r="D159" s="198">
        <v>6.75</v>
      </c>
      <c r="E159" s="191" t="s">
        <v>201</v>
      </c>
      <c r="F159" s="195">
        <v>2.34</v>
      </c>
      <c r="G159" s="256">
        <f>D159*F159</f>
        <v>15.794999999999998</v>
      </c>
      <c r="H159" s="230" t="s">
        <v>198</v>
      </c>
    </row>
    <row r="160" spans="1:8" ht="20.25">
      <c r="A160" s="189"/>
      <c r="B160" s="192" t="s">
        <v>258</v>
      </c>
      <c r="C160" s="193"/>
      <c r="D160" s="198">
        <v>3.87</v>
      </c>
      <c r="E160" s="191" t="s">
        <v>201</v>
      </c>
      <c r="F160" s="195">
        <v>2</v>
      </c>
      <c r="G160" s="256">
        <f>D160*F160</f>
        <v>7.74</v>
      </c>
      <c r="H160" s="189"/>
    </row>
    <row r="161" spans="1:8" ht="20.25">
      <c r="A161" s="189"/>
      <c r="B161" s="192" t="s">
        <v>203</v>
      </c>
      <c r="C161" s="193"/>
      <c r="D161" s="198">
        <v>0.03</v>
      </c>
      <c r="E161" s="191" t="s">
        <v>189</v>
      </c>
      <c r="F161" s="195">
        <v>360.32</v>
      </c>
      <c r="G161" s="256">
        <f>D161*F161</f>
        <v>10.8096</v>
      </c>
      <c r="H161" s="189"/>
    </row>
    <row r="162" spans="1:8" ht="20.25">
      <c r="A162" s="189"/>
      <c r="B162" s="192" t="s">
        <v>205</v>
      </c>
      <c r="C162" s="193"/>
      <c r="D162" s="194">
        <v>5</v>
      </c>
      <c r="E162" s="191" t="s">
        <v>206</v>
      </c>
      <c r="F162" s="199">
        <v>0.0164</v>
      </c>
      <c r="G162" s="256">
        <f>D162*F162</f>
        <v>0.082</v>
      </c>
      <c r="H162" s="189"/>
    </row>
    <row r="163" spans="1:8" ht="21">
      <c r="A163" s="200"/>
      <c r="B163" s="201"/>
      <c r="C163" s="202" t="s">
        <v>272</v>
      </c>
      <c r="D163" s="203">
        <v>1</v>
      </c>
      <c r="E163" s="204" t="s">
        <v>190</v>
      </c>
      <c r="F163" s="205" t="s">
        <v>208</v>
      </c>
      <c r="G163" s="206">
        <f>SUM(G158:G162)</f>
        <v>92.9266</v>
      </c>
      <c r="H163" s="207" t="s">
        <v>209</v>
      </c>
    </row>
    <row r="164" spans="1:8" ht="21">
      <c r="A164" s="208">
        <v>7.7</v>
      </c>
      <c r="B164" s="187" t="s">
        <v>273</v>
      </c>
      <c r="C164" s="268"/>
      <c r="D164" s="209"/>
      <c r="E164" s="209"/>
      <c r="F164" s="210"/>
      <c r="G164" s="211" t="s">
        <v>198</v>
      </c>
      <c r="H164" s="189"/>
    </row>
    <row r="165" spans="1:8" ht="20.25">
      <c r="A165" s="189"/>
      <c r="B165" s="192" t="s">
        <v>271</v>
      </c>
      <c r="C165" s="193"/>
      <c r="D165" s="194">
        <v>13</v>
      </c>
      <c r="E165" s="191" t="s">
        <v>257</v>
      </c>
      <c r="F165" s="195">
        <v>10</v>
      </c>
      <c r="G165" s="256">
        <f>D165*F165</f>
        <v>130</v>
      </c>
      <c r="H165" s="189"/>
    </row>
    <row r="166" spans="1:8" ht="20.25">
      <c r="A166" s="189"/>
      <c r="B166" s="192" t="s">
        <v>245</v>
      </c>
      <c r="C166" s="193"/>
      <c r="D166" s="198">
        <v>9.47</v>
      </c>
      <c r="E166" s="191" t="s">
        <v>201</v>
      </c>
      <c r="F166" s="195">
        <v>2.34</v>
      </c>
      <c r="G166" s="256">
        <f>D166*F166</f>
        <v>22.1598</v>
      </c>
      <c r="H166" s="230" t="s">
        <v>198</v>
      </c>
    </row>
    <row r="167" spans="1:8" ht="20.25">
      <c r="A167" s="189"/>
      <c r="B167" s="192" t="s">
        <v>258</v>
      </c>
      <c r="C167" s="193"/>
      <c r="D167" s="198">
        <v>5.43</v>
      </c>
      <c r="E167" s="191" t="s">
        <v>201</v>
      </c>
      <c r="F167" s="195">
        <v>2</v>
      </c>
      <c r="G167" s="256">
        <f>D167*F167</f>
        <v>10.86</v>
      </c>
      <c r="H167" s="189"/>
    </row>
    <row r="168" spans="1:8" ht="20.25">
      <c r="A168" s="189"/>
      <c r="B168" s="192" t="s">
        <v>203</v>
      </c>
      <c r="C168" s="193"/>
      <c r="D168" s="198">
        <v>0.04</v>
      </c>
      <c r="E168" s="191" t="s">
        <v>189</v>
      </c>
      <c r="F168" s="195">
        <v>360.32</v>
      </c>
      <c r="G168" s="256">
        <f>D168*F168</f>
        <v>14.4128</v>
      </c>
      <c r="H168" s="189"/>
    </row>
    <row r="169" spans="1:8" ht="20.25">
      <c r="A169" s="189"/>
      <c r="B169" s="192" t="s">
        <v>205</v>
      </c>
      <c r="C169" s="193"/>
      <c r="D169" s="194">
        <v>5</v>
      </c>
      <c r="E169" s="191" t="s">
        <v>206</v>
      </c>
      <c r="F169" s="199">
        <v>0.0164</v>
      </c>
      <c r="G169" s="256">
        <f>D169*F169</f>
        <v>0.082</v>
      </c>
      <c r="H169" s="189"/>
    </row>
    <row r="170" spans="1:8" ht="21">
      <c r="A170" s="200"/>
      <c r="B170" s="201"/>
      <c r="C170" s="202" t="s">
        <v>274</v>
      </c>
      <c r="D170" s="203">
        <v>1</v>
      </c>
      <c r="E170" s="204" t="s">
        <v>190</v>
      </c>
      <c r="F170" s="205" t="s">
        <v>208</v>
      </c>
      <c r="G170" s="206">
        <f>SUM(G165:G169)</f>
        <v>177.51459999999997</v>
      </c>
      <c r="H170" s="207" t="s">
        <v>209</v>
      </c>
    </row>
    <row r="171" spans="1:8" ht="21">
      <c r="A171" s="208">
        <v>7.8</v>
      </c>
      <c r="B171" s="187" t="s">
        <v>708</v>
      </c>
      <c r="C171" s="268"/>
      <c r="D171" s="209"/>
      <c r="E171" s="209"/>
      <c r="F171" s="210"/>
      <c r="G171" s="211" t="s">
        <v>198</v>
      </c>
      <c r="H171" s="189"/>
    </row>
    <row r="172" spans="1:8" ht="20.25">
      <c r="A172" s="189"/>
      <c r="B172" s="192" t="s">
        <v>275</v>
      </c>
      <c r="C172" s="193"/>
      <c r="D172" s="194">
        <v>13</v>
      </c>
      <c r="E172" s="191" t="s">
        <v>257</v>
      </c>
      <c r="F172" s="195">
        <v>8.5</v>
      </c>
      <c r="G172" s="256">
        <f>D172*F172</f>
        <v>110.5</v>
      </c>
      <c r="H172" s="189"/>
    </row>
    <row r="173" spans="1:8" ht="20.25">
      <c r="A173" s="189"/>
      <c r="B173" s="192" t="s">
        <v>245</v>
      </c>
      <c r="C173" s="193"/>
      <c r="D173" s="198">
        <v>9.47</v>
      </c>
      <c r="E173" s="191" t="s">
        <v>201</v>
      </c>
      <c r="F173" s="195">
        <v>2.34</v>
      </c>
      <c r="G173" s="256">
        <f>D173*F173</f>
        <v>22.1598</v>
      </c>
      <c r="H173" s="230" t="s">
        <v>198</v>
      </c>
    </row>
    <row r="174" spans="1:8" ht="20.25">
      <c r="A174" s="189"/>
      <c r="B174" s="192" t="s">
        <v>258</v>
      </c>
      <c r="C174" s="193"/>
      <c r="D174" s="198">
        <v>5.43</v>
      </c>
      <c r="E174" s="191" t="s">
        <v>201</v>
      </c>
      <c r="F174" s="195">
        <v>2</v>
      </c>
      <c r="G174" s="256">
        <f>D174*F174</f>
        <v>10.86</v>
      </c>
      <c r="H174" s="189"/>
    </row>
    <row r="175" spans="1:8" ht="20.25">
      <c r="A175" s="189"/>
      <c r="B175" s="192" t="s">
        <v>203</v>
      </c>
      <c r="C175" s="193"/>
      <c r="D175" s="198">
        <v>0.04</v>
      </c>
      <c r="E175" s="191" t="s">
        <v>189</v>
      </c>
      <c r="F175" s="195">
        <v>360.32</v>
      </c>
      <c r="G175" s="256">
        <f>D175*F175</f>
        <v>14.4128</v>
      </c>
      <c r="H175" s="189"/>
    </row>
    <row r="176" spans="1:8" ht="20.25">
      <c r="A176" s="189"/>
      <c r="B176" s="192" t="s">
        <v>205</v>
      </c>
      <c r="C176" s="193"/>
      <c r="D176" s="194">
        <v>5</v>
      </c>
      <c r="E176" s="191" t="s">
        <v>206</v>
      </c>
      <c r="F176" s="199">
        <v>0.0164</v>
      </c>
      <c r="G176" s="256">
        <f>D176*F176</f>
        <v>0.082</v>
      </c>
      <c r="H176" s="189"/>
    </row>
    <row r="177" spans="1:8" ht="21">
      <c r="A177" s="265"/>
      <c r="B177" s="259"/>
      <c r="C177" s="260" t="s">
        <v>276</v>
      </c>
      <c r="D177" s="261">
        <v>1</v>
      </c>
      <c r="E177" s="262" t="s">
        <v>190</v>
      </c>
      <c r="F177" s="263" t="s">
        <v>208</v>
      </c>
      <c r="G177" s="264">
        <f>SUM(G172:G176)</f>
        <v>158.01459999999997</v>
      </c>
      <c r="H177" s="274" t="s">
        <v>209</v>
      </c>
    </row>
    <row r="178" spans="1:8" ht="20.25">
      <c r="A178" s="200"/>
      <c r="B178" s="201"/>
      <c r="C178" s="202"/>
      <c r="D178" s="200"/>
      <c r="E178" s="200"/>
      <c r="F178" s="218"/>
      <c r="G178" s="204" t="s">
        <v>198</v>
      </c>
      <c r="H178" s="200"/>
    </row>
    <row r="179" spans="1:8" s="185" customFormat="1" ht="22.5">
      <c r="A179" s="179">
        <v>8</v>
      </c>
      <c r="B179" s="180" t="s">
        <v>277</v>
      </c>
      <c r="C179" s="217"/>
      <c r="D179" s="182"/>
      <c r="E179" s="182"/>
      <c r="F179" s="183"/>
      <c r="G179" s="184" t="s">
        <v>198</v>
      </c>
      <c r="H179" s="182"/>
    </row>
    <row r="180" spans="1:8" ht="21">
      <c r="A180" s="208">
        <v>8.1</v>
      </c>
      <c r="B180" s="187" t="s">
        <v>709</v>
      </c>
      <c r="C180" s="188"/>
      <c r="D180" s="189"/>
      <c r="E180" s="189"/>
      <c r="F180" s="190"/>
      <c r="G180" s="191" t="s">
        <v>198</v>
      </c>
      <c r="H180" s="189"/>
    </row>
    <row r="181" spans="1:8" ht="20.25">
      <c r="A181" s="189"/>
      <c r="B181" s="192" t="s">
        <v>245</v>
      </c>
      <c r="C181" s="193"/>
      <c r="D181" s="198">
        <v>12.05</v>
      </c>
      <c r="E181" s="191" t="s">
        <v>201</v>
      </c>
      <c r="F181" s="195">
        <v>2.34</v>
      </c>
      <c r="G181" s="256">
        <f>D181*F181</f>
        <v>28.197</v>
      </c>
      <c r="H181" s="230" t="s">
        <v>198</v>
      </c>
    </row>
    <row r="182" spans="1:8" ht="20.25">
      <c r="A182" s="189"/>
      <c r="B182" s="192" t="s">
        <v>278</v>
      </c>
      <c r="C182" s="193"/>
      <c r="D182" s="254">
        <v>0.04</v>
      </c>
      <c r="E182" s="191" t="s">
        <v>189</v>
      </c>
      <c r="F182" s="195">
        <v>370.15</v>
      </c>
      <c r="G182" s="256">
        <f>D182*F182</f>
        <v>14.806</v>
      </c>
      <c r="H182" s="189"/>
    </row>
    <row r="183" spans="1:8" ht="20.25">
      <c r="A183" s="189"/>
      <c r="B183" s="192" t="s">
        <v>279</v>
      </c>
      <c r="C183" s="193"/>
      <c r="D183" s="194">
        <v>3</v>
      </c>
      <c r="E183" s="191" t="s">
        <v>206</v>
      </c>
      <c r="F183" s="199">
        <v>0.0164</v>
      </c>
      <c r="G183" s="256">
        <f>D183*F183</f>
        <v>0.04920000000000001</v>
      </c>
      <c r="H183" s="189"/>
    </row>
    <row r="184" spans="1:8" ht="21">
      <c r="A184" s="200"/>
      <c r="B184" s="201"/>
      <c r="C184" s="202" t="s">
        <v>280</v>
      </c>
      <c r="D184" s="203">
        <v>1</v>
      </c>
      <c r="E184" s="204" t="s">
        <v>190</v>
      </c>
      <c r="F184" s="205" t="s">
        <v>208</v>
      </c>
      <c r="G184" s="206">
        <f>SUM(G181:G183)</f>
        <v>43.0522</v>
      </c>
      <c r="H184" s="207" t="s">
        <v>209</v>
      </c>
    </row>
    <row r="185" spans="1:8" ht="21">
      <c r="A185" s="208">
        <v>8.2</v>
      </c>
      <c r="B185" s="187" t="s">
        <v>710</v>
      </c>
      <c r="C185" s="188"/>
      <c r="D185" s="189"/>
      <c r="E185" s="189"/>
      <c r="F185" s="190"/>
      <c r="G185" s="191" t="s">
        <v>198</v>
      </c>
      <c r="H185" s="189"/>
    </row>
    <row r="186" spans="1:8" ht="20.25">
      <c r="A186" s="189"/>
      <c r="B186" s="192" t="s">
        <v>245</v>
      </c>
      <c r="C186" s="193"/>
      <c r="D186" s="198">
        <v>12.05</v>
      </c>
      <c r="E186" s="191" t="s">
        <v>201</v>
      </c>
      <c r="F186" s="195">
        <v>2.99</v>
      </c>
      <c r="G186" s="256">
        <f>D186*F186</f>
        <v>36.029500000000006</v>
      </c>
      <c r="H186" s="230" t="s">
        <v>198</v>
      </c>
    </row>
    <row r="187" spans="1:8" ht="20.25">
      <c r="A187" s="189"/>
      <c r="B187" s="192" t="s">
        <v>281</v>
      </c>
      <c r="C187" s="193"/>
      <c r="D187" s="198">
        <v>7.7</v>
      </c>
      <c r="E187" s="191" t="s">
        <v>201</v>
      </c>
      <c r="F187" s="195"/>
      <c r="G187" s="256">
        <f>D187*F187</f>
        <v>0</v>
      </c>
      <c r="H187" s="197"/>
    </row>
    <row r="188" spans="1:8" ht="20.25">
      <c r="A188" s="189"/>
      <c r="B188" s="192" t="s">
        <v>278</v>
      </c>
      <c r="C188" s="193"/>
      <c r="D188" s="254">
        <v>0.04</v>
      </c>
      <c r="E188" s="191" t="s">
        <v>189</v>
      </c>
      <c r="F188" s="195">
        <v>420.56</v>
      </c>
      <c r="G188" s="256">
        <f>D188*F188</f>
        <v>16.822400000000002</v>
      </c>
      <c r="H188" s="189"/>
    </row>
    <row r="189" spans="1:8" ht="20.25">
      <c r="A189" s="189"/>
      <c r="B189" s="192" t="s">
        <v>279</v>
      </c>
      <c r="C189" s="193"/>
      <c r="D189" s="194">
        <v>3</v>
      </c>
      <c r="E189" s="191" t="s">
        <v>206</v>
      </c>
      <c r="F189" s="199">
        <v>0.003</v>
      </c>
      <c r="G189" s="256">
        <f>D189*F189</f>
        <v>0.009000000000000001</v>
      </c>
      <c r="H189" s="189"/>
    </row>
    <row r="190" spans="1:8" ht="21">
      <c r="A190" s="200"/>
      <c r="B190" s="201"/>
      <c r="C190" s="202" t="s">
        <v>282</v>
      </c>
      <c r="D190" s="203">
        <v>1</v>
      </c>
      <c r="E190" s="204" t="s">
        <v>190</v>
      </c>
      <c r="F190" s="205" t="s">
        <v>208</v>
      </c>
      <c r="G190" s="206">
        <f>SUM(G186:G189)</f>
        <v>52.86090000000001</v>
      </c>
      <c r="H190" s="207" t="s">
        <v>209</v>
      </c>
    </row>
    <row r="191" spans="1:8" ht="21">
      <c r="A191" s="208">
        <v>8.3</v>
      </c>
      <c r="B191" s="187" t="s">
        <v>711</v>
      </c>
      <c r="C191" s="188"/>
      <c r="D191" s="189"/>
      <c r="E191" s="189"/>
      <c r="F191" s="190"/>
      <c r="G191" s="191" t="s">
        <v>198</v>
      </c>
      <c r="H191" s="189"/>
    </row>
    <row r="192" spans="1:8" ht="20.25">
      <c r="A192" s="189"/>
      <c r="B192" s="192" t="s">
        <v>245</v>
      </c>
      <c r="C192" s="193"/>
      <c r="D192" s="198">
        <v>18</v>
      </c>
      <c r="E192" s="191" t="s">
        <v>201</v>
      </c>
      <c r="F192" s="195">
        <v>2.34</v>
      </c>
      <c r="G192" s="256">
        <f>D192*F192</f>
        <v>42.12</v>
      </c>
      <c r="H192" s="230" t="s">
        <v>198</v>
      </c>
    </row>
    <row r="193" spans="1:8" ht="20.25">
      <c r="A193" s="189"/>
      <c r="B193" s="192" t="s">
        <v>281</v>
      </c>
      <c r="C193" s="193"/>
      <c r="D193" s="198">
        <v>7.7</v>
      </c>
      <c r="E193" s="191" t="s">
        <v>201</v>
      </c>
      <c r="F193" s="195">
        <v>2</v>
      </c>
      <c r="G193" s="256">
        <f>D193*F193</f>
        <v>15.4</v>
      </c>
      <c r="H193" s="197"/>
    </row>
    <row r="194" spans="1:8" ht="20.25">
      <c r="A194" s="189"/>
      <c r="B194" s="192" t="s">
        <v>278</v>
      </c>
      <c r="C194" s="193"/>
      <c r="D194" s="254">
        <v>0.04</v>
      </c>
      <c r="E194" s="191" t="s">
        <v>189</v>
      </c>
      <c r="F194" s="195">
        <v>370.15</v>
      </c>
      <c r="G194" s="256">
        <f>D194*F194</f>
        <v>14.806</v>
      </c>
      <c r="H194" s="189"/>
    </row>
    <row r="195" spans="1:8" ht="20.25">
      <c r="A195" s="189"/>
      <c r="B195" s="192" t="s">
        <v>279</v>
      </c>
      <c r="C195" s="193"/>
      <c r="D195" s="194">
        <v>3</v>
      </c>
      <c r="E195" s="191" t="s">
        <v>206</v>
      </c>
      <c r="F195" s="199">
        <v>0.0164</v>
      </c>
      <c r="G195" s="256">
        <f>D195*F195</f>
        <v>0.04920000000000001</v>
      </c>
      <c r="H195" s="189"/>
    </row>
    <row r="196" spans="1:8" ht="21">
      <c r="A196" s="200"/>
      <c r="B196" s="201"/>
      <c r="C196" s="202" t="s">
        <v>283</v>
      </c>
      <c r="D196" s="203">
        <v>1</v>
      </c>
      <c r="E196" s="204" t="s">
        <v>190</v>
      </c>
      <c r="F196" s="205" t="s">
        <v>208</v>
      </c>
      <c r="G196" s="206">
        <f>SUM(G192:G195)</f>
        <v>72.37519999999999</v>
      </c>
      <c r="H196" s="207" t="s">
        <v>209</v>
      </c>
    </row>
    <row r="197" spans="1:8" ht="21">
      <c r="A197" s="208">
        <v>8.4</v>
      </c>
      <c r="B197" s="187" t="s">
        <v>712</v>
      </c>
      <c r="C197" s="188"/>
      <c r="D197" s="189"/>
      <c r="E197" s="189"/>
      <c r="F197" s="190"/>
      <c r="G197" s="191" t="s">
        <v>198</v>
      </c>
      <c r="H197" s="189"/>
    </row>
    <row r="198" spans="1:8" ht="20.25">
      <c r="A198" s="189"/>
      <c r="B198" s="192" t="s">
        <v>245</v>
      </c>
      <c r="C198" s="193"/>
      <c r="D198" s="198">
        <v>18</v>
      </c>
      <c r="E198" s="191" t="s">
        <v>201</v>
      </c>
      <c r="F198" s="195">
        <v>2.34</v>
      </c>
      <c r="G198" s="256">
        <f>D198*F198</f>
        <v>42.12</v>
      </c>
      <c r="H198" s="230" t="s">
        <v>198</v>
      </c>
    </row>
    <row r="199" spans="1:8" ht="20.25">
      <c r="A199" s="189"/>
      <c r="B199" s="192" t="s">
        <v>281</v>
      </c>
      <c r="C199" s="193"/>
      <c r="D199" s="198">
        <v>7.7</v>
      </c>
      <c r="E199" s="191" t="s">
        <v>201</v>
      </c>
      <c r="F199" s="195">
        <v>2</v>
      </c>
      <c r="G199" s="256">
        <f>D199*F199</f>
        <v>15.4</v>
      </c>
      <c r="H199" s="197"/>
    </row>
    <row r="200" spans="1:8" ht="20.25">
      <c r="A200" s="189"/>
      <c r="B200" s="192" t="s">
        <v>278</v>
      </c>
      <c r="C200" s="193"/>
      <c r="D200" s="254">
        <v>0.04</v>
      </c>
      <c r="E200" s="191" t="s">
        <v>189</v>
      </c>
      <c r="F200" s="195">
        <v>370.15</v>
      </c>
      <c r="G200" s="256">
        <f>D200*F200</f>
        <v>14.806</v>
      </c>
      <c r="H200" s="189"/>
    </row>
    <row r="201" spans="1:8" ht="20.25">
      <c r="A201" s="189"/>
      <c r="B201" s="192" t="s">
        <v>250</v>
      </c>
      <c r="C201" s="193"/>
      <c r="D201" s="198">
        <v>0.08</v>
      </c>
      <c r="E201" s="191" t="s">
        <v>206</v>
      </c>
      <c r="F201" s="287">
        <v>25</v>
      </c>
      <c r="G201" s="256">
        <f>D201*F201</f>
        <v>2</v>
      </c>
      <c r="H201" s="189"/>
    </row>
    <row r="202" spans="1:8" ht="20.25">
      <c r="A202" s="189"/>
      <c r="B202" s="192" t="s">
        <v>279</v>
      </c>
      <c r="C202" s="193"/>
      <c r="D202" s="194">
        <v>3</v>
      </c>
      <c r="E202" s="191" t="s">
        <v>206</v>
      </c>
      <c r="F202" s="199">
        <v>0.0164</v>
      </c>
      <c r="G202" s="256">
        <f>D202*F202</f>
        <v>0.04920000000000001</v>
      </c>
      <c r="H202" s="189"/>
    </row>
    <row r="203" spans="1:8" ht="21">
      <c r="A203" s="200"/>
      <c r="B203" s="201"/>
      <c r="C203" s="202" t="s">
        <v>284</v>
      </c>
      <c r="D203" s="203">
        <v>1</v>
      </c>
      <c r="E203" s="204" t="s">
        <v>190</v>
      </c>
      <c r="F203" s="205" t="s">
        <v>208</v>
      </c>
      <c r="G203" s="206">
        <f>SUM(G198:G202)</f>
        <v>74.37519999999999</v>
      </c>
      <c r="H203" s="207" t="s">
        <v>209</v>
      </c>
    </row>
    <row r="204" spans="1:8" ht="21">
      <c r="A204" s="208">
        <v>8.5</v>
      </c>
      <c r="B204" s="187" t="s">
        <v>713</v>
      </c>
      <c r="C204" s="188"/>
      <c r="D204" s="189"/>
      <c r="E204" s="189"/>
      <c r="F204" s="190"/>
      <c r="G204" s="191" t="s">
        <v>198</v>
      </c>
      <c r="H204" s="189"/>
    </row>
    <row r="205" spans="1:8" ht="20.25">
      <c r="A205" s="189"/>
      <c r="B205" s="192" t="s">
        <v>245</v>
      </c>
      <c r="C205" s="193"/>
      <c r="D205" s="198">
        <v>12.05</v>
      </c>
      <c r="E205" s="191" t="s">
        <v>201</v>
      </c>
      <c r="F205" s="195">
        <v>2.34</v>
      </c>
      <c r="G205" s="256">
        <f>D205*F205</f>
        <v>28.197</v>
      </c>
      <c r="H205" s="230" t="s">
        <v>198</v>
      </c>
    </row>
    <row r="206" spans="1:8" ht="20.25">
      <c r="A206" s="189"/>
      <c r="B206" s="192" t="s">
        <v>281</v>
      </c>
      <c r="C206" s="193"/>
      <c r="D206" s="198">
        <v>11.55</v>
      </c>
      <c r="E206" s="191" t="s">
        <v>201</v>
      </c>
      <c r="F206" s="195">
        <v>2</v>
      </c>
      <c r="G206" s="256">
        <f>D206*F206</f>
        <v>23.1</v>
      </c>
      <c r="H206" s="197"/>
    </row>
    <row r="207" spans="1:8" ht="20.25">
      <c r="A207" s="189"/>
      <c r="B207" s="192" t="s">
        <v>278</v>
      </c>
      <c r="C207" s="193"/>
      <c r="D207" s="254">
        <v>0.08</v>
      </c>
      <c r="E207" s="191" t="s">
        <v>189</v>
      </c>
      <c r="F207" s="195">
        <v>370.15</v>
      </c>
      <c r="G207" s="256">
        <f>D207*F207</f>
        <v>29.612</v>
      </c>
      <c r="H207" s="189"/>
    </row>
    <row r="208" spans="1:8" ht="20.25">
      <c r="A208" s="189"/>
      <c r="B208" s="192" t="s">
        <v>279</v>
      </c>
      <c r="C208" s="193"/>
      <c r="D208" s="194">
        <v>5</v>
      </c>
      <c r="E208" s="191" t="s">
        <v>206</v>
      </c>
      <c r="F208" s="199">
        <v>0.0164</v>
      </c>
      <c r="G208" s="256">
        <f>D208*F208</f>
        <v>0.082</v>
      </c>
      <c r="H208" s="189"/>
    </row>
    <row r="209" spans="1:8" ht="21">
      <c r="A209" s="200"/>
      <c r="B209" s="201"/>
      <c r="C209" s="202" t="s">
        <v>285</v>
      </c>
      <c r="D209" s="203">
        <v>1</v>
      </c>
      <c r="E209" s="204" t="s">
        <v>190</v>
      </c>
      <c r="F209" s="205" t="s">
        <v>208</v>
      </c>
      <c r="G209" s="206">
        <f>SUM(G205:G208)</f>
        <v>80.99099999999999</v>
      </c>
      <c r="H209" s="207" t="s">
        <v>209</v>
      </c>
    </row>
    <row r="210" spans="1:8" ht="21">
      <c r="A210" s="208">
        <v>8.6</v>
      </c>
      <c r="B210" s="284" t="s">
        <v>714</v>
      </c>
      <c r="C210" s="193"/>
      <c r="D210" s="209"/>
      <c r="E210" s="209"/>
      <c r="F210" s="210"/>
      <c r="G210" s="211" t="s">
        <v>198</v>
      </c>
      <c r="H210" s="209"/>
    </row>
    <row r="211" spans="1:8" ht="20.25">
      <c r="A211" s="189"/>
      <c r="B211" s="192" t="s">
        <v>245</v>
      </c>
      <c r="C211" s="193"/>
      <c r="D211" s="198">
        <v>12.05</v>
      </c>
      <c r="E211" s="191" t="s">
        <v>201</v>
      </c>
      <c r="F211" s="195">
        <v>2.34</v>
      </c>
      <c r="G211" s="256">
        <f aca="true" t="shared" si="3" ref="G211:G216">D211*F211</f>
        <v>28.197</v>
      </c>
      <c r="H211" s="230" t="s">
        <v>198</v>
      </c>
    </row>
    <row r="212" spans="1:8" ht="20.25">
      <c r="A212" s="189"/>
      <c r="B212" s="192" t="s">
        <v>286</v>
      </c>
      <c r="C212" s="193"/>
      <c r="D212" s="254">
        <v>8.43</v>
      </c>
      <c r="E212" s="191" t="s">
        <v>201</v>
      </c>
      <c r="F212" s="195">
        <v>8.37</v>
      </c>
      <c r="G212" s="256">
        <f t="shared" si="3"/>
        <v>70.55909999999999</v>
      </c>
      <c r="H212" s="197" t="s">
        <v>198</v>
      </c>
    </row>
    <row r="213" spans="1:8" ht="20.25">
      <c r="A213" s="189"/>
      <c r="B213" s="192" t="s">
        <v>287</v>
      </c>
      <c r="C213" s="193"/>
      <c r="D213" s="254">
        <v>28.03</v>
      </c>
      <c r="E213" s="191" t="s">
        <v>201</v>
      </c>
      <c r="F213" s="195">
        <v>3.22</v>
      </c>
      <c r="G213" s="256">
        <f t="shared" si="3"/>
        <v>90.2566</v>
      </c>
      <c r="H213" s="189"/>
    </row>
    <row r="214" spans="1:8" ht="20.25">
      <c r="A214" s="209"/>
      <c r="B214" s="192" t="s">
        <v>288</v>
      </c>
      <c r="C214" s="193"/>
      <c r="D214" s="254">
        <v>0.5</v>
      </c>
      <c r="E214" s="191" t="s">
        <v>201</v>
      </c>
      <c r="F214" s="252">
        <v>65</v>
      </c>
      <c r="G214" s="256">
        <f t="shared" si="3"/>
        <v>32.5</v>
      </c>
      <c r="H214" s="209"/>
    </row>
    <row r="215" spans="1:8" ht="20.25">
      <c r="A215" s="209"/>
      <c r="B215" s="192" t="s">
        <v>203</v>
      </c>
      <c r="C215" s="193"/>
      <c r="D215" s="254">
        <v>0.1</v>
      </c>
      <c r="E215" s="191" t="s">
        <v>189</v>
      </c>
      <c r="F215" s="195">
        <v>360.32</v>
      </c>
      <c r="G215" s="256">
        <f t="shared" si="3"/>
        <v>36.032000000000004</v>
      </c>
      <c r="H215" s="209"/>
    </row>
    <row r="216" spans="1:8" ht="20.25">
      <c r="A216" s="209"/>
      <c r="B216" s="192" t="s">
        <v>279</v>
      </c>
      <c r="C216" s="193"/>
      <c r="D216" s="194">
        <v>8</v>
      </c>
      <c r="E216" s="191" t="s">
        <v>206</v>
      </c>
      <c r="F216" s="199">
        <v>0.0164</v>
      </c>
      <c r="G216" s="256">
        <f t="shared" si="3"/>
        <v>0.1312</v>
      </c>
      <c r="H216" s="209"/>
    </row>
    <row r="217" spans="1:8" ht="21">
      <c r="A217" s="200"/>
      <c r="B217" s="201"/>
      <c r="C217" s="202" t="s">
        <v>289</v>
      </c>
      <c r="D217" s="203">
        <v>1</v>
      </c>
      <c r="E217" s="204" t="s">
        <v>190</v>
      </c>
      <c r="F217" s="205" t="s">
        <v>208</v>
      </c>
      <c r="G217" s="206">
        <f>SUM(G211:G216)</f>
        <v>257.67589999999996</v>
      </c>
      <c r="H217" s="207" t="s">
        <v>209</v>
      </c>
    </row>
    <row r="218" spans="1:8" ht="21">
      <c r="A218" s="208">
        <v>8.7</v>
      </c>
      <c r="B218" s="284" t="s">
        <v>715</v>
      </c>
      <c r="C218" s="193"/>
      <c r="D218" s="209"/>
      <c r="E218" s="209"/>
      <c r="F218" s="210"/>
      <c r="G218" s="211" t="s">
        <v>198</v>
      </c>
      <c r="H218" s="209"/>
    </row>
    <row r="219" spans="1:8" ht="20.25">
      <c r="A219" s="189"/>
      <c r="B219" s="192" t="s">
        <v>245</v>
      </c>
      <c r="C219" s="193"/>
      <c r="D219" s="198">
        <v>12.05</v>
      </c>
      <c r="E219" s="191" t="s">
        <v>201</v>
      </c>
      <c r="F219" s="195">
        <v>2.34</v>
      </c>
      <c r="G219" s="256">
        <f aca="true" t="shared" si="4" ref="G219:G224">D219*F219</f>
        <v>28.197</v>
      </c>
      <c r="H219" s="230" t="s">
        <v>198</v>
      </c>
    </row>
    <row r="220" spans="1:8" ht="20.25">
      <c r="A220" s="189"/>
      <c r="B220" s="192" t="s">
        <v>286</v>
      </c>
      <c r="C220" s="193"/>
      <c r="D220" s="254">
        <v>8.42</v>
      </c>
      <c r="E220" s="191" t="s">
        <v>201</v>
      </c>
      <c r="F220" s="195">
        <v>8.37</v>
      </c>
      <c r="G220" s="256">
        <f t="shared" si="4"/>
        <v>70.4754</v>
      </c>
      <c r="H220" s="197" t="s">
        <v>198</v>
      </c>
    </row>
    <row r="221" spans="1:8" ht="20.25">
      <c r="A221" s="189"/>
      <c r="B221" s="192" t="s">
        <v>290</v>
      </c>
      <c r="C221" s="188"/>
      <c r="D221" s="254">
        <v>22</v>
      </c>
      <c r="E221" s="191" t="s">
        <v>201</v>
      </c>
      <c r="F221" s="195">
        <v>3.08</v>
      </c>
      <c r="G221" s="256">
        <f t="shared" si="4"/>
        <v>67.76</v>
      </c>
      <c r="H221" s="189"/>
    </row>
    <row r="222" spans="1:8" ht="20.25">
      <c r="A222" s="209"/>
      <c r="B222" s="250" t="s">
        <v>288</v>
      </c>
      <c r="C222" s="193"/>
      <c r="D222" s="251">
        <v>0.5</v>
      </c>
      <c r="E222" s="211" t="s">
        <v>201</v>
      </c>
      <c r="F222" s="252">
        <v>65</v>
      </c>
      <c r="G222" s="273">
        <f t="shared" si="4"/>
        <v>32.5</v>
      </c>
      <c r="H222" s="209"/>
    </row>
    <row r="223" spans="1:8" ht="20.25">
      <c r="A223" s="209"/>
      <c r="B223" s="192" t="s">
        <v>203</v>
      </c>
      <c r="C223" s="193"/>
      <c r="D223" s="254">
        <v>0.1</v>
      </c>
      <c r="E223" s="191" t="s">
        <v>189</v>
      </c>
      <c r="F223" s="195">
        <v>360.32</v>
      </c>
      <c r="G223" s="256">
        <f t="shared" si="4"/>
        <v>36.032000000000004</v>
      </c>
      <c r="H223" s="209"/>
    </row>
    <row r="224" spans="1:8" ht="20.25">
      <c r="A224" s="209"/>
      <c r="B224" s="192" t="s">
        <v>279</v>
      </c>
      <c r="C224" s="193"/>
      <c r="D224" s="194">
        <v>8</v>
      </c>
      <c r="E224" s="191" t="s">
        <v>206</v>
      </c>
      <c r="F224" s="199">
        <v>0.0164</v>
      </c>
      <c r="G224" s="256">
        <f t="shared" si="4"/>
        <v>0.1312</v>
      </c>
      <c r="H224" s="209"/>
    </row>
    <row r="225" spans="1:8" ht="21">
      <c r="A225" s="200"/>
      <c r="B225" s="201"/>
      <c r="C225" s="202" t="s">
        <v>291</v>
      </c>
      <c r="D225" s="203">
        <v>1</v>
      </c>
      <c r="E225" s="204" t="s">
        <v>190</v>
      </c>
      <c r="F225" s="205" t="s">
        <v>208</v>
      </c>
      <c r="G225" s="206">
        <f>SUM(G219:G224)</f>
        <v>235.09560000000002</v>
      </c>
      <c r="H225" s="207" t="s">
        <v>209</v>
      </c>
    </row>
    <row r="226" spans="1:8" ht="21">
      <c r="A226" s="208">
        <v>8.8</v>
      </c>
      <c r="B226" s="284" t="s">
        <v>292</v>
      </c>
      <c r="C226" s="193"/>
      <c r="D226" s="209"/>
      <c r="E226" s="209"/>
      <c r="F226" s="210"/>
      <c r="G226" s="211" t="s">
        <v>198</v>
      </c>
      <c r="H226" s="209"/>
    </row>
    <row r="227" spans="1:8" ht="20.25">
      <c r="A227" s="189"/>
      <c r="B227" s="192" t="s">
        <v>293</v>
      </c>
      <c r="C227" s="193"/>
      <c r="D227" s="194">
        <v>105</v>
      </c>
      <c r="E227" s="191" t="s">
        <v>294</v>
      </c>
      <c r="F227" s="195">
        <v>2.8</v>
      </c>
      <c r="G227" s="256">
        <f aca="true" t="shared" si="5" ref="G227:G232">D227*F227</f>
        <v>294</v>
      </c>
      <c r="H227" s="189"/>
    </row>
    <row r="228" spans="1:8" ht="20.25">
      <c r="A228" s="189"/>
      <c r="B228" s="192" t="s">
        <v>245</v>
      </c>
      <c r="C228" s="193"/>
      <c r="D228" s="198">
        <v>18</v>
      </c>
      <c r="E228" s="191" t="s">
        <v>201</v>
      </c>
      <c r="F228" s="195">
        <v>2.34</v>
      </c>
      <c r="G228" s="256">
        <f t="shared" si="5"/>
        <v>42.12</v>
      </c>
      <c r="H228" s="230" t="s">
        <v>198</v>
      </c>
    </row>
    <row r="229" spans="1:8" ht="20.25">
      <c r="A229" s="189"/>
      <c r="B229" s="192" t="s">
        <v>295</v>
      </c>
      <c r="C229" s="193"/>
      <c r="D229" s="254">
        <v>0.25</v>
      </c>
      <c r="E229" s="191" t="s">
        <v>201</v>
      </c>
      <c r="F229" s="195">
        <v>4.6</v>
      </c>
      <c r="G229" s="256">
        <f t="shared" si="5"/>
        <v>1.15</v>
      </c>
      <c r="H229" s="189"/>
    </row>
    <row r="230" spans="1:8" ht="20.25">
      <c r="A230" s="189"/>
      <c r="B230" s="192" t="s">
        <v>278</v>
      </c>
      <c r="C230" s="193"/>
      <c r="D230" s="254">
        <v>0.04</v>
      </c>
      <c r="E230" s="191" t="s">
        <v>189</v>
      </c>
      <c r="F230" s="195">
        <v>390</v>
      </c>
      <c r="G230" s="256">
        <f t="shared" si="5"/>
        <v>15.6</v>
      </c>
      <c r="H230" s="189"/>
    </row>
    <row r="231" spans="1:8" ht="20.25">
      <c r="A231" s="189"/>
      <c r="B231" s="192" t="s">
        <v>279</v>
      </c>
      <c r="C231" s="193"/>
      <c r="D231" s="194">
        <v>6</v>
      </c>
      <c r="E231" s="191" t="s">
        <v>206</v>
      </c>
      <c r="F231" s="199">
        <v>0.0164</v>
      </c>
      <c r="G231" s="256">
        <f t="shared" si="5"/>
        <v>0.09840000000000002</v>
      </c>
      <c r="H231" s="189"/>
    </row>
    <row r="232" spans="1:8" ht="20.25">
      <c r="A232" s="189"/>
      <c r="B232" s="192" t="s">
        <v>296</v>
      </c>
      <c r="C232" s="193"/>
      <c r="D232" s="198">
        <v>1</v>
      </c>
      <c r="E232" s="191" t="s">
        <v>190</v>
      </c>
      <c r="F232" s="195">
        <v>10.23</v>
      </c>
      <c r="G232" s="256">
        <f t="shared" si="5"/>
        <v>10.23</v>
      </c>
      <c r="H232" s="189"/>
    </row>
    <row r="233" spans="1:8" ht="21">
      <c r="A233" s="288"/>
      <c r="B233" s="289"/>
      <c r="C233" s="290" t="s">
        <v>297</v>
      </c>
      <c r="D233" s="291">
        <v>1</v>
      </c>
      <c r="E233" s="292" t="s">
        <v>190</v>
      </c>
      <c r="F233" s="293" t="s">
        <v>208</v>
      </c>
      <c r="G233" s="294">
        <f>SUM(G227:G232)</f>
        <v>363.19840000000005</v>
      </c>
      <c r="H233" s="295" t="s">
        <v>209</v>
      </c>
    </row>
    <row r="234" spans="1:8" ht="21">
      <c r="A234" s="208">
        <v>8.9</v>
      </c>
      <c r="B234" s="187" t="s">
        <v>298</v>
      </c>
      <c r="C234" s="188"/>
      <c r="D234" s="189"/>
      <c r="E234" s="189"/>
      <c r="F234" s="190"/>
      <c r="G234" s="191" t="s">
        <v>198</v>
      </c>
      <c r="H234" s="189"/>
    </row>
    <row r="235" spans="1:8" ht="20.25">
      <c r="A235" s="189"/>
      <c r="B235" s="192" t="s">
        <v>299</v>
      </c>
      <c r="C235" s="193"/>
      <c r="D235" s="194">
        <v>105</v>
      </c>
      <c r="E235" s="191" t="s">
        <v>294</v>
      </c>
      <c r="F235" s="195">
        <v>3.25</v>
      </c>
      <c r="G235" s="256">
        <f aca="true" t="shared" si="6" ref="G235:G240">D235*F235</f>
        <v>341.25</v>
      </c>
      <c r="H235" s="189"/>
    </row>
    <row r="236" spans="1:8" ht="20.25">
      <c r="A236" s="189"/>
      <c r="B236" s="192" t="s">
        <v>245</v>
      </c>
      <c r="C236" s="193"/>
      <c r="D236" s="198">
        <v>18</v>
      </c>
      <c r="E236" s="191" t="s">
        <v>201</v>
      </c>
      <c r="F236" s="195">
        <v>2.34</v>
      </c>
      <c r="G236" s="256">
        <f t="shared" si="6"/>
        <v>42.12</v>
      </c>
      <c r="H236" s="230" t="s">
        <v>198</v>
      </c>
    </row>
    <row r="237" spans="1:8" ht="20.25">
      <c r="A237" s="189"/>
      <c r="B237" s="192" t="s">
        <v>295</v>
      </c>
      <c r="C237" s="193"/>
      <c r="D237" s="254">
        <v>0.25</v>
      </c>
      <c r="E237" s="191" t="s">
        <v>201</v>
      </c>
      <c r="F237" s="195">
        <v>4.6</v>
      </c>
      <c r="G237" s="256">
        <f t="shared" si="6"/>
        <v>1.15</v>
      </c>
      <c r="H237" s="189"/>
    </row>
    <row r="238" spans="1:8" ht="20.25">
      <c r="A238" s="189"/>
      <c r="B238" s="192" t="s">
        <v>278</v>
      </c>
      <c r="C238" s="193"/>
      <c r="D238" s="254">
        <v>0.04</v>
      </c>
      <c r="E238" s="191" t="s">
        <v>189</v>
      </c>
      <c r="F238" s="195">
        <v>390</v>
      </c>
      <c r="G238" s="256">
        <f t="shared" si="6"/>
        <v>15.6</v>
      </c>
      <c r="H238" s="189"/>
    </row>
    <row r="239" spans="1:8" ht="20.25">
      <c r="A239" s="189"/>
      <c r="B239" s="192" t="s">
        <v>279</v>
      </c>
      <c r="C239" s="193"/>
      <c r="D239" s="194">
        <v>6</v>
      </c>
      <c r="E239" s="191" t="s">
        <v>206</v>
      </c>
      <c r="F239" s="199">
        <v>0.0164</v>
      </c>
      <c r="G239" s="256">
        <f t="shared" si="6"/>
        <v>0.09840000000000002</v>
      </c>
      <c r="H239" s="189"/>
    </row>
    <row r="240" spans="1:8" ht="19.5">
      <c r="A240" s="189"/>
      <c r="B240" s="192" t="s">
        <v>296</v>
      </c>
      <c r="C240" s="193"/>
      <c r="D240" s="198">
        <v>1</v>
      </c>
      <c r="E240" s="191" t="s">
        <v>190</v>
      </c>
      <c r="F240" s="195">
        <v>10.23</v>
      </c>
      <c r="G240" s="256">
        <f t="shared" si="6"/>
        <v>10.23</v>
      </c>
      <c r="H240" s="189"/>
    </row>
    <row r="241" spans="1:8" ht="20.25">
      <c r="A241" s="200"/>
      <c r="B241" s="201"/>
      <c r="C241" s="202" t="s">
        <v>300</v>
      </c>
      <c r="D241" s="203">
        <v>1</v>
      </c>
      <c r="E241" s="204" t="s">
        <v>190</v>
      </c>
      <c r="F241" s="205" t="s">
        <v>208</v>
      </c>
      <c r="G241" s="206">
        <f>SUM(G235:G240)</f>
        <v>410.44840000000005</v>
      </c>
      <c r="H241" s="207" t="s">
        <v>209</v>
      </c>
    </row>
    <row r="242" spans="1:8" ht="20.25">
      <c r="A242" s="296">
        <v>8.1</v>
      </c>
      <c r="B242" s="284" t="s">
        <v>301</v>
      </c>
      <c r="C242" s="193"/>
      <c r="D242" s="209"/>
      <c r="E242" s="209"/>
      <c r="F242" s="210"/>
      <c r="G242" s="211" t="s">
        <v>198</v>
      </c>
      <c r="H242" s="209"/>
    </row>
    <row r="243" spans="1:8" ht="19.5">
      <c r="A243" s="200"/>
      <c r="B243" s="297" t="s">
        <v>302</v>
      </c>
      <c r="C243" s="202"/>
      <c r="D243" s="203">
        <v>26</v>
      </c>
      <c r="E243" s="204" t="s">
        <v>294</v>
      </c>
      <c r="F243" s="248">
        <v>7.62</v>
      </c>
      <c r="G243" s="282">
        <f aca="true" t="shared" si="7" ref="G243:G248">D243*F243</f>
        <v>198.12</v>
      </c>
      <c r="H243" s="200"/>
    </row>
    <row r="244" spans="1:8" ht="19.5">
      <c r="A244" s="209"/>
      <c r="B244" s="250" t="s">
        <v>245</v>
      </c>
      <c r="C244" s="193"/>
      <c r="D244" s="283">
        <v>18</v>
      </c>
      <c r="E244" s="211" t="s">
        <v>201</v>
      </c>
      <c r="F244" s="252">
        <v>2.99</v>
      </c>
      <c r="G244" s="273">
        <f t="shared" si="7"/>
        <v>53.82000000000001</v>
      </c>
      <c r="H244" s="225" t="s">
        <v>198</v>
      </c>
    </row>
    <row r="245" spans="1:8" ht="19.5">
      <c r="A245" s="189"/>
      <c r="B245" s="192" t="s">
        <v>303</v>
      </c>
      <c r="C245" s="193"/>
      <c r="D245" s="254">
        <v>0.22</v>
      </c>
      <c r="E245" s="191" t="s">
        <v>201</v>
      </c>
      <c r="F245" s="195">
        <v>4.6</v>
      </c>
      <c r="G245" s="256">
        <f t="shared" si="7"/>
        <v>1.012</v>
      </c>
      <c r="H245" s="189"/>
    </row>
    <row r="246" spans="1:8" ht="19.5">
      <c r="A246" s="189"/>
      <c r="B246" s="192" t="s">
        <v>278</v>
      </c>
      <c r="C246" s="193"/>
      <c r="D246" s="254">
        <v>0.04</v>
      </c>
      <c r="E246" s="191" t="s">
        <v>189</v>
      </c>
      <c r="F246" s="195">
        <v>420.56</v>
      </c>
      <c r="G246" s="256">
        <f t="shared" si="7"/>
        <v>16.822400000000002</v>
      </c>
      <c r="H246" s="189"/>
    </row>
    <row r="247" spans="1:8" ht="19.5">
      <c r="A247" s="189"/>
      <c r="B247" s="192" t="s">
        <v>279</v>
      </c>
      <c r="C247" s="193"/>
      <c r="D247" s="194">
        <v>6</v>
      </c>
      <c r="E247" s="191" t="s">
        <v>206</v>
      </c>
      <c r="F247" s="199">
        <v>0.003</v>
      </c>
      <c r="G247" s="256">
        <f t="shared" si="7"/>
        <v>0.018000000000000002</v>
      </c>
      <c r="H247" s="189"/>
    </row>
    <row r="248" spans="1:8" ht="19.5">
      <c r="A248" s="189"/>
      <c r="B248" s="192" t="s">
        <v>296</v>
      </c>
      <c r="C248" s="193"/>
      <c r="D248" s="198">
        <v>1</v>
      </c>
      <c r="E248" s="191" t="s">
        <v>190</v>
      </c>
      <c r="F248" s="195"/>
      <c r="G248" s="256">
        <f t="shared" si="7"/>
        <v>0</v>
      </c>
      <c r="H248" s="189"/>
    </row>
    <row r="249" spans="1:8" ht="20.25">
      <c r="A249" s="288"/>
      <c r="B249" s="289"/>
      <c r="C249" s="290" t="s">
        <v>304</v>
      </c>
      <c r="D249" s="291">
        <v>1</v>
      </c>
      <c r="E249" s="292" t="s">
        <v>190</v>
      </c>
      <c r="F249" s="293" t="s">
        <v>208</v>
      </c>
      <c r="G249" s="294">
        <f>SUM(G243:G248)</f>
        <v>269.7924</v>
      </c>
      <c r="H249" s="295" t="s">
        <v>209</v>
      </c>
    </row>
    <row r="250" spans="1:8" ht="20.25">
      <c r="A250" s="208">
        <v>8.11</v>
      </c>
      <c r="B250" s="187" t="s">
        <v>305</v>
      </c>
      <c r="C250" s="188"/>
      <c r="D250" s="189"/>
      <c r="E250" s="189"/>
      <c r="F250" s="190"/>
      <c r="G250" s="191" t="s">
        <v>198</v>
      </c>
      <c r="H250" s="189"/>
    </row>
    <row r="251" spans="1:8" ht="19.5">
      <c r="A251" s="189"/>
      <c r="B251" s="298" t="s">
        <v>306</v>
      </c>
      <c r="C251" s="193"/>
      <c r="D251" s="194">
        <v>26</v>
      </c>
      <c r="E251" s="191" t="s">
        <v>294</v>
      </c>
      <c r="F251" s="195">
        <v>8</v>
      </c>
      <c r="G251" s="256">
        <f aca="true" t="shared" si="8" ref="G251:G256">D251*F251</f>
        <v>208</v>
      </c>
      <c r="H251" s="189"/>
    </row>
    <row r="252" spans="1:8" ht="19.5">
      <c r="A252" s="189"/>
      <c r="B252" s="192" t="s">
        <v>245</v>
      </c>
      <c r="C252" s="193"/>
      <c r="D252" s="198">
        <v>18</v>
      </c>
      <c r="E252" s="191" t="s">
        <v>201</v>
      </c>
      <c r="F252" s="195">
        <v>2.34</v>
      </c>
      <c r="G252" s="256">
        <f t="shared" si="8"/>
        <v>42.12</v>
      </c>
      <c r="H252" s="230" t="s">
        <v>198</v>
      </c>
    </row>
    <row r="253" spans="1:8" ht="19.5">
      <c r="A253" s="189"/>
      <c r="B253" s="192" t="s">
        <v>303</v>
      </c>
      <c r="C253" s="193"/>
      <c r="D253" s="254">
        <v>0.22</v>
      </c>
      <c r="E253" s="191" t="s">
        <v>201</v>
      </c>
      <c r="F253" s="195">
        <v>4.6</v>
      </c>
      <c r="G253" s="256">
        <f t="shared" si="8"/>
        <v>1.012</v>
      </c>
      <c r="H253" s="189"/>
    </row>
    <row r="254" spans="1:8" ht="19.5">
      <c r="A254" s="189"/>
      <c r="B254" s="192" t="s">
        <v>278</v>
      </c>
      <c r="C254" s="193"/>
      <c r="D254" s="254">
        <v>0.04</v>
      </c>
      <c r="E254" s="191" t="s">
        <v>189</v>
      </c>
      <c r="F254" s="195">
        <v>390</v>
      </c>
      <c r="G254" s="256">
        <f t="shared" si="8"/>
        <v>15.6</v>
      </c>
      <c r="H254" s="189"/>
    </row>
    <row r="255" spans="1:8" ht="19.5">
      <c r="A255" s="189"/>
      <c r="B255" s="192" t="s">
        <v>279</v>
      </c>
      <c r="C255" s="193"/>
      <c r="D255" s="194">
        <v>6</v>
      </c>
      <c r="E255" s="191" t="s">
        <v>206</v>
      </c>
      <c r="F255" s="199">
        <v>0.0164</v>
      </c>
      <c r="G255" s="256">
        <f t="shared" si="8"/>
        <v>0.09840000000000002</v>
      </c>
      <c r="H255" s="189"/>
    </row>
    <row r="256" spans="1:8" ht="19.5">
      <c r="A256" s="189"/>
      <c r="B256" s="192" t="s">
        <v>296</v>
      </c>
      <c r="C256" s="193"/>
      <c r="D256" s="198">
        <v>1</v>
      </c>
      <c r="E256" s="191" t="s">
        <v>190</v>
      </c>
      <c r="F256" s="195">
        <v>10.23</v>
      </c>
      <c r="G256" s="256">
        <f t="shared" si="8"/>
        <v>10.23</v>
      </c>
      <c r="H256" s="189"/>
    </row>
    <row r="257" spans="1:8" ht="20.25">
      <c r="A257" s="238"/>
      <c r="B257" s="299"/>
      <c r="C257" s="240" t="s">
        <v>307</v>
      </c>
      <c r="D257" s="300">
        <v>1</v>
      </c>
      <c r="E257" s="301" t="s">
        <v>190</v>
      </c>
      <c r="F257" s="243" t="s">
        <v>208</v>
      </c>
      <c r="G257" s="302">
        <f>SUM(G251:G256)</f>
        <v>277.0604000000001</v>
      </c>
      <c r="H257" s="303" t="s">
        <v>209</v>
      </c>
    </row>
    <row r="258" spans="1:8" ht="20.25">
      <c r="A258" s="200"/>
      <c r="B258" s="201"/>
      <c r="C258" s="202"/>
      <c r="D258" s="203"/>
      <c r="E258" s="204"/>
      <c r="F258" s="205"/>
      <c r="G258" s="206"/>
      <c r="H258" s="207"/>
    </row>
    <row r="259" spans="1:8" ht="20.25">
      <c r="A259" s="208">
        <v>8.12</v>
      </c>
      <c r="B259" s="284" t="s">
        <v>308</v>
      </c>
      <c r="C259" s="193"/>
      <c r="D259" s="209"/>
      <c r="E259" s="209"/>
      <c r="F259" s="210"/>
      <c r="G259" s="211" t="s">
        <v>198</v>
      </c>
      <c r="H259" s="209"/>
    </row>
    <row r="260" spans="1:8" ht="19.5">
      <c r="A260" s="189"/>
      <c r="B260" s="298" t="s">
        <v>309</v>
      </c>
      <c r="C260" s="193"/>
      <c r="D260" s="194">
        <v>26</v>
      </c>
      <c r="E260" s="191" t="s">
        <v>294</v>
      </c>
      <c r="F260" s="195">
        <v>8.5</v>
      </c>
      <c r="G260" s="256">
        <f aca="true" t="shared" si="9" ref="G260:G265">D260*F260</f>
        <v>221</v>
      </c>
      <c r="H260" s="189"/>
    </row>
    <row r="261" spans="1:8" ht="19.5">
      <c r="A261" s="189"/>
      <c r="B261" s="192" t="s">
        <v>245</v>
      </c>
      <c r="C261" s="193"/>
      <c r="D261" s="198">
        <v>18</v>
      </c>
      <c r="E261" s="191" t="s">
        <v>201</v>
      </c>
      <c r="F261" s="195">
        <v>2.34</v>
      </c>
      <c r="G261" s="256">
        <f t="shared" si="9"/>
        <v>42.12</v>
      </c>
      <c r="H261" s="230" t="s">
        <v>198</v>
      </c>
    </row>
    <row r="262" spans="1:8" ht="19.5">
      <c r="A262" s="189"/>
      <c r="B262" s="192" t="s">
        <v>303</v>
      </c>
      <c r="C262" s="193"/>
      <c r="D262" s="254">
        <v>0.22</v>
      </c>
      <c r="E262" s="191" t="s">
        <v>201</v>
      </c>
      <c r="F262" s="195">
        <v>4.6</v>
      </c>
      <c r="G262" s="256">
        <f t="shared" si="9"/>
        <v>1.012</v>
      </c>
      <c r="H262" s="189"/>
    </row>
    <row r="263" spans="1:8" ht="19.5">
      <c r="A263" s="189"/>
      <c r="B263" s="192" t="s">
        <v>278</v>
      </c>
      <c r="C263" s="193"/>
      <c r="D263" s="254">
        <v>0.04</v>
      </c>
      <c r="E263" s="191" t="s">
        <v>189</v>
      </c>
      <c r="F263" s="195">
        <v>390</v>
      </c>
      <c r="G263" s="256">
        <f t="shared" si="9"/>
        <v>15.6</v>
      </c>
      <c r="H263" s="189"/>
    </row>
    <row r="264" spans="1:8" ht="19.5">
      <c r="A264" s="189"/>
      <c r="B264" s="192" t="s">
        <v>279</v>
      </c>
      <c r="C264" s="193"/>
      <c r="D264" s="194">
        <v>6</v>
      </c>
      <c r="E264" s="191" t="s">
        <v>206</v>
      </c>
      <c r="F264" s="199">
        <v>0.0164</v>
      </c>
      <c r="G264" s="256">
        <f t="shared" si="9"/>
        <v>0.09840000000000002</v>
      </c>
      <c r="H264" s="189"/>
    </row>
    <row r="265" spans="1:8" ht="19.5">
      <c r="A265" s="189"/>
      <c r="B265" s="192" t="s">
        <v>296</v>
      </c>
      <c r="C265" s="193"/>
      <c r="D265" s="198">
        <v>1</v>
      </c>
      <c r="E265" s="191" t="s">
        <v>190</v>
      </c>
      <c r="F265" s="195">
        <v>10.23</v>
      </c>
      <c r="G265" s="256">
        <f t="shared" si="9"/>
        <v>10.23</v>
      </c>
      <c r="H265" s="189"/>
    </row>
    <row r="266" spans="1:8" ht="20.25">
      <c r="A266" s="288"/>
      <c r="B266" s="289"/>
      <c r="C266" s="290" t="s">
        <v>310</v>
      </c>
      <c r="D266" s="291">
        <v>1</v>
      </c>
      <c r="E266" s="292" t="s">
        <v>190</v>
      </c>
      <c r="F266" s="293" t="s">
        <v>208</v>
      </c>
      <c r="G266" s="294">
        <f>SUM(G260:G265)</f>
        <v>290.0604000000001</v>
      </c>
      <c r="H266" s="295" t="s">
        <v>209</v>
      </c>
    </row>
    <row r="267" spans="1:8" ht="20.25">
      <c r="A267" s="208">
        <v>8.13</v>
      </c>
      <c r="B267" s="187" t="s">
        <v>311</v>
      </c>
      <c r="C267" s="188"/>
      <c r="D267" s="189"/>
      <c r="E267" s="189"/>
      <c r="F267" s="190"/>
      <c r="G267" s="191" t="s">
        <v>198</v>
      </c>
      <c r="H267" s="189"/>
    </row>
    <row r="268" spans="1:8" ht="19.5">
      <c r="A268" s="189"/>
      <c r="B268" s="192" t="s">
        <v>312</v>
      </c>
      <c r="C268" s="193"/>
      <c r="D268" s="194">
        <v>21</v>
      </c>
      <c r="E268" s="191" t="s">
        <v>294</v>
      </c>
      <c r="F268" s="195">
        <v>9</v>
      </c>
      <c r="G268" s="256">
        <f aca="true" t="shared" si="10" ref="G268:G273">D268*F268</f>
        <v>189</v>
      </c>
      <c r="H268" s="189"/>
    </row>
    <row r="269" spans="1:8" ht="19.5">
      <c r="A269" s="189"/>
      <c r="B269" s="192" t="s">
        <v>245</v>
      </c>
      <c r="C269" s="193"/>
      <c r="D269" s="198">
        <v>18</v>
      </c>
      <c r="E269" s="191" t="s">
        <v>201</v>
      </c>
      <c r="F269" s="195">
        <v>2.34</v>
      </c>
      <c r="G269" s="256">
        <f t="shared" si="10"/>
        <v>42.12</v>
      </c>
      <c r="H269" s="230" t="s">
        <v>198</v>
      </c>
    </row>
    <row r="270" spans="1:8" ht="19.5">
      <c r="A270" s="189"/>
      <c r="B270" s="192" t="s">
        <v>303</v>
      </c>
      <c r="C270" s="193"/>
      <c r="D270" s="254">
        <v>0.22</v>
      </c>
      <c r="E270" s="191" t="s">
        <v>201</v>
      </c>
      <c r="F270" s="195">
        <v>4.6</v>
      </c>
      <c r="G270" s="256">
        <f t="shared" si="10"/>
        <v>1.012</v>
      </c>
      <c r="H270" s="189"/>
    </row>
    <row r="271" spans="1:8" ht="19.5">
      <c r="A271" s="189"/>
      <c r="B271" s="192" t="s">
        <v>278</v>
      </c>
      <c r="C271" s="193"/>
      <c r="D271" s="254">
        <v>0.04</v>
      </c>
      <c r="E271" s="191" t="s">
        <v>189</v>
      </c>
      <c r="F271" s="195">
        <v>390</v>
      </c>
      <c r="G271" s="256">
        <f t="shared" si="10"/>
        <v>15.6</v>
      </c>
      <c r="H271" s="189"/>
    </row>
    <row r="272" spans="1:8" ht="19.5">
      <c r="A272" s="189"/>
      <c r="B272" s="192" t="s">
        <v>279</v>
      </c>
      <c r="C272" s="193"/>
      <c r="D272" s="194">
        <v>6</v>
      </c>
      <c r="E272" s="191" t="s">
        <v>206</v>
      </c>
      <c r="F272" s="199">
        <v>0.0164</v>
      </c>
      <c r="G272" s="256">
        <f t="shared" si="10"/>
        <v>0.09840000000000002</v>
      </c>
      <c r="H272" s="189"/>
    </row>
    <row r="273" spans="1:8" ht="19.5">
      <c r="A273" s="189"/>
      <c r="B273" s="192" t="s">
        <v>296</v>
      </c>
      <c r="C273" s="193"/>
      <c r="D273" s="198">
        <v>1</v>
      </c>
      <c r="E273" s="191" t="s">
        <v>190</v>
      </c>
      <c r="F273" s="195">
        <v>10.23</v>
      </c>
      <c r="G273" s="256">
        <f t="shared" si="10"/>
        <v>10.23</v>
      </c>
      <c r="H273" s="189"/>
    </row>
    <row r="274" spans="1:8" ht="20.25">
      <c r="A274" s="200"/>
      <c r="B274" s="201"/>
      <c r="C274" s="202" t="s">
        <v>313</v>
      </c>
      <c r="D274" s="203">
        <v>1</v>
      </c>
      <c r="E274" s="204" t="s">
        <v>190</v>
      </c>
      <c r="F274" s="205" t="s">
        <v>208</v>
      </c>
      <c r="G274" s="206">
        <f>SUM(G268:G273)</f>
        <v>258.0604</v>
      </c>
      <c r="H274" s="207" t="s">
        <v>209</v>
      </c>
    </row>
    <row r="275" spans="1:8" ht="20.25">
      <c r="A275" s="296">
        <v>8.14</v>
      </c>
      <c r="B275" s="284" t="s">
        <v>314</v>
      </c>
      <c r="C275" s="193"/>
      <c r="D275" s="209"/>
      <c r="E275" s="209"/>
      <c r="F275" s="210"/>
      <c r="G275" s="211" t="s">
        <v>198</v>
      </c>
      <c r="H275" s="209"/>
    </row>
    <row r="276" spans="1:8" ht="19.5">
      <c r="A276" s="189"/>
      <c r="B276" s="192" t="s">
        <v>315</v>
      </c>
      <c r="C276" s="193"/>
      <c r="D276" s="194">
        <v>21</v>
      </c>
      <c r="E276" s="191" t="s">
        <v>294</v>
      </c>
      <c r="F276" s="195">
        <v>9.7</v>
      </c>
      <c r="G276" s="256">
        <f aca="true" t="shared" si="11" ref="G276:G281">D276*F276</f>
        <v>203.7</v>
      </c>
      <c r="H276" s="189"/>
    </row>
    <row r="277" spans="1:8" ht="19.5">
      <c r="A277" s="189"/>
      <c r="B277" s="192" t="s">
        <v>245</v>
      </c>
      <c r="C277" s="193"/>
      <c r="D277" s="198">
        <v>18</v>
      </c>
      <c r="E277" s="191" t="s">
        <v>201</v>
      </c>
      <c r="F277" s="195">
        <v>2.34</v>
      </c>
      <c r="G277" s="256">
        <f t="shared" si="11"/>
        <v>42.12</v>
      </c>
      <c r="H277" s="230" t="s">
        <v>198</v>
      </c>
    </row>
    <row r="278" spans="1:8" ht="19.5">
      <c r="A278" s="189"/>
      <c r="B278" s="192" t="s">
        <v>303</v>
      </c>
      <c r="C278" s="193"/>
      <c r="D278" s="254">
        <v>0.22</v>
      </c>
      <c r="E278" s="191" t="s">
        <v>201</v>
      </c>
      <c r="F278" s="195">
        <v>4.6</v>
      </c>
      <c r="G278" s="256">
        <f t="shared" si="11"/>
        <v>1.012</v>
      </c>
      <c r="H278" s="189"/>
    </row>
    <row r="279" spans="1:8" ht="19.5">
      <c r="A279" s="189"/>
      <c r="B279" s="192" t="s">
        <v>278</v>
      </c>
      <c r="C279" s="193"/>
      <c r="D279" s="254">
        <v>0.04</v>
      </c>
      <c r="E279" s="191" t="s">
        <v>189</v>
      </c>
      <c r="F279" s="195">
        <v>390</v>
      </c>
      <c r="G279" s="256">
        <f t="shared" si="11"/>
        <v>15.6</v>
      </c>
      <c r="H279" s="189"/>
    </row>
    <row r="280" spans="1:8" ht="19.5">
      <c r="A280" s="189"/>
      <c r="B280" s="192" t="s">
        <v>279</v>
      </c>
      <c r="C280" s="193"/>
      <c r="D280" s="194">
        <v>6</v>
      </c>
      <c r="E280" s="191" t="s">
        <v>206</v>
      </c>
      <c r="F280" s="199">
        <v>0.0164</v>
      </c>
      <c r="G280" s="256">
        <f t="shared" si="11"/>
        <v>0.09840000000000002</v>
      </c>
      <c r="H280" s="189"/>
    </row>
    <row r="281" spans="1:8" ht="19.5">
      <c r="A281" s="189"/>
      <c r="B281" s="192" t="s">
        <v>296</v>
      </c>
      <c r="C281" s="193"/>
      <c r="D281" s="198">
        <v>1</v>
      </c>
      <c r="E281" s="191" t="s">
        <v>190</v>
      </c>
      <c r="F281" s="195">
        <v>10.23</v>
      </c>
      <c r="G281" s="256">
        <f t="shared" si="11"/>
        <v>10.23</v>
      </c>
      <c r="H281" s="189"/>
    </row>
    <row r="282" spans="1:8" ht="20.25">
      <c r="A282" s="265"/>
      <c r="B282" s="259"/>
      <c r="C282" s="260" t="s">
        <v>316</v>
      </c>
      <c r="D282" s="261">
        <v>1</v>
      </c>
      <c r="E282" s="262" t="s">
        <v>190</v>
      </c>
      <c r="F282" s="263" t="s">
        <v>208</v>
      </c>
      <c r="G282" s="264">
        <f>SUM(G276:G281)</f>
        <v>272.76040000000006</v>
      </c>
      <c r="H282" s="274" t="s">
        <v>209</v>
      </c>
    </row>
    <row r="283" spans="1:8" ht="20.25">
      <c r="A283" s="200"/>
      <c r="B283" s="201"/>
      <c r="C283" s="202"/>
      <c r="D283" s="203"/>
      <c r="E283" s="204"/>
      <c r="F283" s="205"/>
      <c r="G283" s="206"/>
      <c r="H283" s="207"/>
    </row>
    <row r="284" spans="1:8" ht="20.25">
      <c r="A284" s="208">
        <v>8.15</v>
      </c>
      <c r="B284" s="284" t="s">
        <v>317</v>
      </c>
      <c r="C284" s="193"/>
      <c r="D284" s="209"/>
      <c r="E284" s="209"/>
      <c r="F284" s="210"/>
      <c r="G284" s="211" t="s">
        <v>198</v>
      </c>
      <c r="H284" s="209"/>
    </row>
    <row r="285" spans="1:8" ht="19.5">
      <c r="A285" s="189"/>
      <c r="B285" s="192" t="s">
        <v>318</v>
      </c>
      <c r="C285" s="193"/>
      <c r="D285" s="194">
        <v>12</v>
      </c>
      <c r="E285" s="191" t="s">
        <v>294</v>
      </c>
      <c r="F285" s="195">
        <v>14.5</v>
      </c>
      <c r="G285" s="256">
        <f aca="true" t="shared" si="12" ref="G285:G290">D285*F285</f>
        <v>174</v>
      </c>
      <c r="H285" s="189"/>
    </row>
    <row r="286" spans="1:8" ht="19.5">
      <c r="A286" s="189"/>
      <c r="B286" s="192" t="s">
        <v>245</v>
      </c>
      <c r="C286" s="193"/>
      <c r="D286" s="198">
        <v>18</v>
      </c>
      <c r="E286" s="191" t="s">
        <v>201</v>
      </c>
      <c r="F286" s="195">
        <v>2.34</v>
      </c>
      <c r="G286" s="256">
        <f t="shared" si="12"/>
        <v>42.12</v>
      </c>
      <c r="H286" s="230" t="s">
        <v>198</v>
      </c>
    </row>
    <row r="287" spans="1:8" ht="19.5">
      <c r="A287" s="189"/>
      <c r="B287" s="192" t="s">
        <v>303</v>
      </c>
      <c r="C287" s="193"/>
      <c r="D287" s="254">
        <v>0.2</v>
      </c>
      <c r="E287" s="191" t="s">
        <v>201</v>
      </c>
      <c r="F287" s="195">
        <v>4.6</v>
      </c>
      <c r="G287" s="256">
        <f t="shared" si="12"/>
        <v>0.9199999999999999</v>
      </c>
      <c r="H287" s="189"/>
    </row>
    <row r="288" spans="1:8" ht="19.5">
      <c r="A288" s="189"/>
      <c r="B288" s="192" t="s">
        <v>278</v>
      </c>
      <c r="C288" s="193"/>
      <c r="D288" s="254">
        <v>0.04</v>
      </c>
      <c r="E288" s="191" t="s">
        <v>189</v>
      </c>
      <c r="F288" s="195">
        <v>390</v>
      </c>
      <c r="G288" s="256">
        <f t="shared" si="12"/>
        <v>15.6</v>
      </c>
      <c r="H288" s="189"/>
    </row>
    <row r="289" spans="1:8" ht="19.5">
      <c r="A289" s="189"/>
      <c r="B289" s="192" t="s">
        <v>279</v>
      </c>
      <c r="C289" s="193"/>
      <c r="D289" s="194">
        <v>6</v>
      </c>
      <c r="E289" s="191" t="s">
        <v>206</v>
      </c>
      <c r="F289" s="199">
        <v>0.0164</v>
      </c>
      <c r="G289" s="256">
        <f t="shared" si="12"/>
        <v>0.09840000000000002</v>
      </c>
      <c r="H289" s="189"/>
    </row>
    <row r="290" spans="1:8" ht="19.5">
      <c r="A290" s="189"/>
      <c r="B290" s="192" t="s">
        <v>296</v>
      </c>
      <c r="C290" s="193"/>
      <c r="D290" s="198">
        <v>1</v>
      </c>
      <c r="E290" s="191" t="s">
        <v>190</v>
      </c>
      <c r="F290" s="195">
        <v>10.23</v>
      </c>
      <c r="G290" s="256">
        <f t="shared" si="12"/>
        <v>10.23</v>
      </c>
      <c r="H290" s="189"/>
    </row>
    <row r="291" spans="1:8" ht="20.25">
      <c r="A291" s="200"/>
      <c r="B291" s="201"/>
      <c r="C291" s="202" t="s">
        <v>319</v>
      </c>
      <c r="D291" s="203">
        <v>1</v>
      </c>
      <c r="E291" s="204" t="s">
        <v>190</v>
      </c>
      <c r="F291" s="205" t="s">
        <v>208</v>
      </c>
      <c r="G291" s="206">
        <f>SUM(G285:G290)</f>
        <v>242.96839999999997</v>
      </c>
      <c r="H291" s="207" t="s">
        <v>209</v>
      </c>
    </row>
    <row r="292" spans="1:8" ht="20.25">
      <c r="A292" s="296">
        <v>8.16</v>
      </c>
      <c r="B292" s="187" t="s">
        <v>320</v>
      </c>
      <c r="C292" s="188"/>
      <c r="D292" s="189"/>
      <c r="E292" s="189"/>
      <c r="F292" s="190"/>
      <c r="G292" s="191" t="s">
        <v>198</v>
      </c>
      <c r="H292" s="189"/>
    </row>
    <row r="293" spans="1:8" ht="19.5">
      <c r="A293" s="189"/>
      <c r="B293" s="192" t="s">
        <v>321</v>
      </c>
      <c r="C293" s="193"/>
      <c r="D293" s="194">
        <v>14</v>
      </c>
      <c r="E293" s="191" t="s">
        <v>294</v>
      </c>
      <c r="F293" s="195">
        <v>16</v>
      </c>
      <c r="G293" s="256">
        <f aca="true" t="shared" si="13" ref="G293:G298">D293*F293</f>
        <v>224</v>
      </c>
      <c r="H293" s="189"/>
    </row>
    <row r="294" spans="1:8" ht="19.5">
      <c r="A294" s="189"/>
      <c r="B294" s="192" t="s">
        <v>245</v>
      </c>
      <c r="C294" s="193"/>
      <c r="D294" s="198">
        <v>18</v>
      </c>
      <c r="E294" s="191" t="s">
        <v>201</v>
      </c>
      <c r="F294" s="195">
        <v>2.34</v>
      </c>
      <c r="G294" s="256">
        <f t="shared" si="13"/>
        <v>42.12</v>
      </c>
      <c r="H294" s="230" t="s">
        <v>198</v>
      </c>
    </row>
    <row r="295" spans="1:8" ht="19.5">
      <c r="A295" s="189"/>
      <c r="B295" s="192" t="s">
        <v>303</v>
      </c>
      <c r="C295" s="193"/>
      <c r="D295" s="254">
        <v>0.2</v>
      </c>
      <c r="E295" s="191" t="s">
        <v>201</v>
      </c>
      <c r="F295" s="195">
        <v>4.6</v>
      </c>
      <c r="G295" s="256">
        <f t="shared" si="13"/>
        <v>0.9199999999999999</v>
      </c>
      <c r="H295" s="189"/>
    </row>
    <row r="296" spans="1:8" ht="19.5">
      <c r="A296" s="189"/>
      <c r="B296" s="192" t="s">
        <v>278</v>
      </c>
      <c r="C296" s="188"/>
      <c r="D296" s="254">
        <v>0.04</v>
      </c>
      <c r="E296" s="191" t="s">
        <v>189</v>
      </c>
      <c r="F296" s="195">
        <v>390</v>
      </c>
      <c r="G296" s="256">
        <f t="shared" si="13"/>
        <v>15.6</v>
      </c>
      <c r="H296" s="189"/>
    </row>
    <row r="297" spans="1:8" ht="19.5">
      <c r="A297" s="209"/>
      <c r="B297" s="250" t="s">
        <v>279</v>
      </c>
      <c r="C297" s="193"/>
      <c r="D297" s="285">
        <v>6</v>
      </c>
      <c r="E297" s="211" t="s">
        <v>206</v>
      </c>
      <c r="F297" s="286">
        <v>0.0164</v>
      </c>
      <c r="G297" s="273">
        <f t="shared" si="13"/>
        <v>0.09840000000000002</v>
      </c>
      <c r="H297" s="209"/>
    </row>
    <row r="298" spans="1:8" ht="19.5">
      <c r="A298" s="189"/>
      <c r="B298" s="192" t="s">
        <v>296</v>
      </c>
      <c r="C298" s="193"/>
      <c r="D298" s="198">
        <v>1</v>
      </c>
      <c r="E298" s="191" t="s">
        <v>190</v>
      </c>
      <c r="F298" s="195">
        <v>10.23</v>
      </c>
      <c r="G298" s="256">
        <f t="shared" si="13"/>
        <v>10.23</v>
      </c>
      <c r="H298" s="189"/>
    </row>
    <row r="299" spans="1:8" ht="20.25">
      <c r="A299" s="200"/>
      <c r="B299" s="201"/>
      <c r="C299" s="202" t="s">
        <v>322</v>
      </c>
      <c r="D299" s="203">
        <v>1</v>
      </c>
      <c r="E299" s="204" t="s">
        <v>190</v>
      </c>
      <c r="F299" s="205" t="s">
        <v>208</v>
      </c>
      <c r="G299" s="206">
        <f>SUM(G293:G298)</f>
        <v>292.9684000000001</v>
      </c>
      <c r="H299" s="207" t="s">
        <v>209</v>
      </c>
    </row>
    <row r="300" spans="1:8" ht="20.25">
      <c r="A300" s="296">
        <v>8.17</v>
      </c>
      <c r="B300" s="187" t="s">
        <v>323</v>
      </c>
      <c r="C300" s="188"/>
      <c r="D300" s="189"/>
      <c r="E300" s="189"/>
      <c r="F300" s="190"/>
      <c r="G300" s="191" t="s">
        <v>198</v>
      </c>
      <c r="H300" s="189"/>
    </row>
    <row r="301" spans="1:8" ht="19.5">
      <c r="A301" s="189"/>
      <c r="B301" s="192" t="s">
        <v>324</v>
      </c>
      <c r="C301" s="193"/>
      <c r="D301" s="194">
        <v>55</v>
      </c>
      <c r="E301" s="191" t="s">
        <v>294</v>
      </c>
      <c r="F301" s="304">
        <v>4.5</v>
      </c>
      <c r="G301" s="256">
        <f>D301*F301</f>
        <v>247.5</v>
      </c>
      <c r="H301" s="189"/>
    </row>
    <row r="302" spans="1:8" ht="19.5">
      <c r="A302" s="189"/>
      <c r="B302" s="192" t="s">
        <v>245</v>
      </c>
      <c r="C302" s="193"/>
      <c r="D302" s="198">
        <v>18</v>
      </c>
      <c r="E302" s="191" t="s">
        <v>201</v>
      </c>
      <c r="F302" s="195">
        <v>2.34</v>
      </c>
      <c r="G302" s="256">
        <f>D302*F302</f>
        <v>42.12</v>
      </c>
      <c r="H302" s="230" t="s">
        <v>198</v>
      </c>
    </row>
    <row r="303" spans="1:8" ht="19.5">
      <c r="A303" s="189"/>
      <c r="B303" s="192" t="s">
        <v>325</v>
      </c>
      <c r="C303" s="193"/>
      <c r="D303" s="254">
        <v>0.35</v>
      </c>
      <c r="E303" s="191" t="s">
        <v>201</v>
      </c>
      <c r="F303" s="195">
        <v>27.14</v>
      </c>
      <c r="G303" s="256">
        <f>D303*F303</f>
        <v>9.498999999999999</v>
      </c>
      <c r="H303" s="189"/>
    </row>
    <row r="304" spans="1:8" ht="19.5">
      <c r="A304" s="189"/>
      <c r="B304" s="192" t="s">
        <v>278</v>
      </c>
      <c r="C304" s="193"/>
      <c r="D304" s="254">
        <v>0.04</v>
      </c>
      <c r="E304" s="191" t="s">
        <v>189</v>
      </c>
      <c r="F304" s="195">
        <v>390</v>
      </c>
      <c r="G304" s="256">
        <f>D304*F304</f>
        <v>15.6</v>
      </c>
      <c r="H304" s="189"/>
    </row>
    <row r="305" spans="1:8" ht="19.5">
      <c r="A305" s="189"/>
      <c r="B305" s="192" t="s">
        <v>279</v>
      </c>
      <c r="C305" s="193"/>
      <c r="D305" s="194">
        <v>6</v>
      </c>
      <c r="E305" s="191" t="s">
        <v>206</v>
      </c>
      <c r="F305" s="199">
        <v>0.0164</v>
      </c>
      <c r="G305" s="256">
        <f>D305*F305</f>
        <v>0.09840000000000002</v>
      </c>
      <c r="H305" s="189"/>
    </row>
    <row r="306" spans="1:8" ht="20.25">
      <c r="A306" s="200"/>
      <c r="B306" s="201"/>
      <c r="C306" s="202" t="s">
        <v>326</v>
      </c>
      <c r="D306" s="203">
        <v>1</v>
      </c>
      <c r="E306" s="204" t="s">
        <v>190</v>
      </c>
      <c r="F306" s="205" t="s">
        <v>208</v>
      </c>
      <c r="G306" s="206">
        <f>SUM(G300:G305)</f>
        <v>314.8174000000001</v>
      </c>
      <c r="H306" s="207" t="s">
        <v>209</v>
      </c>
    </row>
    <row r="307" spans="1:8" ht="19.5" customHeight="1">
      <c r="A307" s="296">
        <v>8.18</v>
      </c>
      <c r="B307" s="284" t="s">
        <v>327</v>
      </c>
      <c r="C307" s="193"/>
      <c r="D307" s="209"/>
      <c r="E307" s="209"/>
      <c r="F307" s="210"/>
      <c r="G307" s="211" t="s">
        <v>198</v>
      </c>
      <c r="H307" s="209"/>
    </row>
    <row r="308" spans="1:8" ht="19.5" customHeight="1">
      <c r="A308" s="189"/>
      <c r="B308" s="192" t="s">
        <v>328</v>
      </c>
      <c r="C308" s="193"/>
      <c r="D308" s="198">
        <v>1.1</v>
      </c>
      <c r="E308" s="191" t="s">
        <v>190</v>
      </c>
      <c r="F308" s="195">
        <v>650</v>
      </c>
      <c r="G308" s="256">
        <f aca="true" t="shared" si="14" ref="G308:G314">D308*F308</f>
        <v>715.0000000000001</v>
      </c>
      <c r="H308" s="231" t="s">
        <v>329</v>
      </c>
    </row>
    <row r="309" spans="1:8" ht="19.5" customHeight="1">
      <c r="A309" s="189"/>
      <c r="B309" s="192" t="s">
        <v>245</v>
      </c>
      <c r="C309" s="193"/>
      <c r="D309" s="198">
        <v>18</v>
      </c>
      <c r="E309" s="191" t="s">
        <v>201</v>
      </c>
      <c r="F309" s="195">
        <v>2.34</v>
      </c>
      <c r="G309" s="256">
        <f t="shared" si="14"/>
        <v>42.12</v>
      </c>
      <c r="H309" s="231" t="s">
        <v>198</v>
      </c>
    </row>
    <row r="310" spans="1:8" ht="19.5" customHeight="1">
      <c r="A310" s="189"/>
      <c r="B310" s="192" t="s">
        <v>330</v>
      </c>
      <c r="C310" s="193"/>
      <c r="D310" s="254">
        <v>0.25</v>
      </c>
      <c r="E310" s="191" t="s">
        <v>201</v>
      </c>
      <c r="F310" s="195">
        <v>27.14</v>
      </c>
      <c r="G310" s="256">
        <f t="shared" si="14"/>
        <v>6.785</v>
      </c>
      <c r="H310" s="230" t="s">
        <v>198</v>
      </c>
    </row>
    <row r="311" spans="1:8" ht="19.5" customHeight="1">
      <c r="A311" s="189"/>
      <c r="B311" s="192" t="s">
        <v>278</v>
      </c>
      <c r="C311" s="193"/>
      <c r="D311" s="254">
        <v>0.04</v>
      </c>
      <c r="E311" s="191" t="s">
        <v>189</v>
      </c>
      <c r="F311" s="195">
        <v>390</v>
      </c>
      <c r="G311" s="256">
        <f t="shared" si="14"/>
        <v>15.6</v>
      </c>
      <c r="H311" s="189"/>
    </row>
    <row r="312" spans="1:8" ht="19.5" customHeight="1">
      <c r="A312" s="189"/>
      <c r="B312" s="192" t="s">
        <v>279</v>
      </c>
      <c r="C312" s="193"/>
      <c r="D312" s="194">
        <v>6</v>
      </c>
      <c r="E312" s="191" t="s">
        <v>206</v>
      </c>
      <c r="F312" s="199">
        <v>0.0164</v>
      </c>
      <c r="G312" s="256">
        <f t="shared" si="14"/>
        <v>0.09840000000000002</v>
      </c>
      <c r="H312" s="189"/>
    </row>
    <row r="313" spans="1:8" ht="19.5" customHeight="1">
      <c r="A313" s="189"/>
      <c r="B313" s="192" t="s">
        <v>331</v>
      </c>
      <c r="C313" s="193"/>
      <c r="D313" s="198">
        <v>0.02</v>
      </c>
      <c r="E313" s="191" t="s">
        <v>201</v>
      </c>
      <c r="F313" s="195">
        <v>165</v>
      </c>
      <c r="G313" s="256">
        <f t="shared" si="14"/>
        <v>3.3000000000000003</v>
      </c>
      <c r="H313" s="189"/>
    </row>
    <row r="314" spans="1:8" ht="19.5" customHeight="1">
      <c r="A314" s="189"/>
      <c r="B314" s="192" t="s">
        <v>332</v>
      </c>
      <c r="C314" s="193"/>
      <c r="D314" s="194">
        <v>1</v>
      </c>
      <c r="E314" s="191" t="s">
        <v>36</v>
      </c>
      <c r="F314" s="195">
        <v>10</v>
      </c>
      <c r="G314" s="256">
        <f t="shared" si="14"/>
        <v>10</v>
      </c>
      <c r="H314" s="189"/>
    </row>
    <row r="315" spans="1:8" ht="19.5" customHeight="1">
      <c r="A315" s="200"/>
      <c r="B315" s="201"/>
      <c r="C315" s="202" t="s">
        <v>333</v>
      </c>
      <c r="D315" s="203">
        <v>1</v>
      </c>
      <c r="E315" s="204" t="s">
        <v>190</v>
      </c>
      <c r="F315" s="205" t="s">
        <v>208</v>
      </c>
      <c r="G315" s="206">
        <f>SUM(G308:G314)</f>
        <v>792.9034</v>
      </c>
      <c r="H315" s="207" t="s">
        <v>209</v>
      </c>
    </row>
    <row r="316" spans="1:8" ht="19.5" customHeight="1">
      <c r="A316" s="208">
        <v>8.19</v>
      </c>
      <c r="B316" s="284" t="s">
        <v>334</v>
      </c>
      <c r="C316" s="193"/>
      <c r="D316" s="209"/>
      <c r="E316" s="209"/>
      <c r="F316" s="210"/>
      <c r="G316" s="211" t="s">
        <v>198</v>
      </c>
      <c r="H316" s="209"/>
    </row>
    <row r="317" spans="1:8" ht="19.5" customHeight="1">
      <c r="A317" s="189"/>
      <c r="B317" s="192" t="s">
        <v>335</v>
      </c>
      <c r="C317" s="193"/>
      <c r="D317" s="198">
        <v>1.1</v>
      </c>
      <c r="E317" s="191" t="s">
        <v>190</v>
      </c>
      <c r="F317" s="195">
        <v>1700</v>
      </c>
      <c r="G317" s="256">
        <f aca="true" t="shared" si="15" ref="G317:G323">D317*F317</f>
        <v>1870.0000000000002</v>
      </c>
      <c r="H317" s="231" t="s">
        <v>329</v>
      </c>
    </row>
    <row r="318" spans="1:8" ht="19.5" customHeight="1">
      <c r="A318" s="189"/>
      <c r="B318" s="192" t="s">
        <v>245</v>
      </c>
      <c r="C318" s="193"/>
      <c r="D318" s="198">
        <v>18</v>
      </c>
      <c r="E318" s="191" t="s">
        <v>201</v>
      </c>
      <c r="F318" s="195">
        <v>2.34</v>
      </c>
      <c r="G318" s="256">
        <f t="shared" si="15"/>
        <v>42.12</v>
      </c>
      <c r="H318" s="231" t="s">
        <v>198</v>
      </c>
    </row>
    <row r="319" spans="1:8" ht="19.5" customHeight="1">
      <c r="A319" s="189"/>
      <c r="B319" s="192" t="s">
        <v>336</v>
      </c>
      <c r="C319" s="193"/>
      <c r="D319" s="254">
        <v>0.25</v>
      </c>
      <c r="E319" s="191" t="s">
        <v>201</v>
      </c>
      <c r="F319" s="195">
        <v>27.14</v>
      </c>
      <c r="G319" s="256">
        <f t="shared" si="15"/>
        <v>6.785</v>
      </c>
      <c r="H319" s="230" t="s">
        <v>198</v>
      </c>
    </row>
    <row r="320" spans="1:8" ht="19.5" customHeight="1">
      <c r="A320" s="189"/>
      <c r="B320" s="192" t="s">
        <v>278</v>
      </c>
      <c r="C320" s="193"/>
      <c r="D320" s="254">
        <v>0.04</v>
      </c>
      <c r="E320" s="191" t="s">
        <v>189</v>
      </c>
      <c r="F320" s="195">
        <v>390</v>
      </c>
      <c r="G320" s="256">
        <f t="shared" si="15"/>
        <v>15.6</v>
      </c>
      <c r="H320" s="189"/>
    </row>
    <row r="321" spans="1:8" ht="19.5" customHeight="1">
      <c r="A321" s="189"/>
      <c r="B321" s="192" t="s">
        <v>279</v>
      </c>
      <c r="C321" s="193"/>
      <c r="D321" s="194">
        <v>6</v>
      </c>
      <c r="E321" s="191" t="s">
        <v>206</v>
      </c>
      <c r="F321" s="199">
        <v>0.0164</v>
      </c>
      <c r="G321" s="256">
        <f t="shared" si="15"/>
        <v>0.09840000000000002</v>
      </c>
      <c r="H321" s="189"/>
    </row>
    <row r="322" spans="1:8" ht="19.5" customHeight="1">
      <c r="A322" s="189"/>
      <c r="B322" s="192" t="s">
        <v>331</v>
      </c>
      <c r="C322" s="193"/>
      <c r="D322" s="198">
        <v>0.02</v>
      </c>
      <c r="E322" s="191" t="s">
        <v>201</v>
      </c>
      <c r="F322" s="195">
        <v>165</v>
      </c>
      <c r="G322" s="256">
        <f t="shared" si="15"/>
        <v>3.3000000000000003</v>
      </c>
      <c r="H322" s="189"/>
    </row>
    <row r="323" spans="1:8" ht="19.5" customHeight="1">
      <c r="A323" s="189"/>
      <c r="B323" s="192" t="s">
        <v>332</v>
      </c>
      <c r="C323" s="193"/>
      <c r="D323" s="194">
        <v>1</v>
      </c>
      <c r="E323" s="191" t="s">
        <v>36</v>
      </c>
      <c r="F323" s="195">
        <v>10</v>
      </c>
      <c r="G323" s="256">
        <f t="shared" si="15"/>
        <v>10</v>
      </c>
      <c r="H323" s="189"/>
    </row>
    <row r="324" spans="1:8" ht="19.5" customHeight="1">
      <c r="A324" s="265"/>
      <c r="B324" s="259"/>
      <c r="C324" s="260" t="s">
        <v>337</v>
      </c>
      <c r="D324" s="261">
        <v>1</v>
      </c>
      <c r="E324" s="262" t="s">
        <v>190</v>
      </c>
      <c r="F324" s="263" t="s">
        <v>208</v>
      </c>
      <c r="G324" s="264">
        <f>SUM(G317:G323)</f>
        <v>1947.9034000000001</v>
      </c>
      <c r="H324" s="274" t="s">
        <v>209</v>
      </c>
    </row>
    <row r="325" spans="1:8" ht="19.5" customHeight="1">
      <c r="A325" s="200"/>
      <c r="B325" s="201"/>
      <c r="C325" s="202"/>
      <c r="D325" s="203"/>
      <c r="E325" s="204"/>
      <c r="F325" s="205"/>
      <c r="G325" s="206"/>
      <c r="H325" s="207"/>
    </row>
    <row r="326" spans="1:8" ht="19.5" customHeight="1">
      <c r="A326" s="296">
        <v>8.2</v>
      </c>
      <c r="B326" s="284" t="s">
        <v>338</v>
      </c>
      <c r="C326" s="193"/>
      <c r="D326" s="209"/>
      <c r="E326" s="209"/>
      <c r="F326" s="210"/>
      <c r="G326" s="211" t="s">
        <v>198</v>
      </c>
      <c r="H326" s="209"/>
    </row>
    <row r="327" spans="1:8" ht="19.5" customHeight="1">
      <c r="A327" s="189"/>
      <c r="B327" s="192" t="s">
        <v>339</v>
      </c>
      <c r="C327" s="193"/>
      <c r="D327" s="194">
        <v>11</v>
      </c>
      <c r="E327" s="191" t="s">
        <v>294</v>
      </c>
      <c r="F327" s="195">
        <v>28.8</v>
      </c>
      <c r="G327" s="256">
        <f aca="true" t="shared" si="16" ref="G327:G332">D327*F327</f>
        <v>316.8</v>
      </c>
      <c r="H327" s="189"/>
    </row>
    <row r="328" spans="1:8" ht="19.5" customHeight="1">
      <c r="A328" s="189"/>
      <c r="B328" s="192" t="s">
        <v>245</v>
      </c>
      <c r="C328" s="193"/>
      <c r="D328" s="198">
        <v>18</v>
      </c>
      <c r="E328" s="191" t="s">
        <v>201</v>
      </c>
      <c r="F328" s="195">
        <v>2.34</v>
      </c>
      <c r="G328" s="256">
        <f t="shared" si="16"/>
        <v>42.12</v>
      </c>
      <c r="H328" s="230" t="s">
        <v>198</v>
      </c>
    </row>
    <row r="329" spans="1:8" ht="19.5" customHeight="1">
      <c r="A329" s="189"/>
      <c r="B329" s="192" t="s">
        <v>336</v>
      </c>
      <c r="C329" s="193"/>
      <c r="D329" s="254">
        <v>0.25</v>
      </c>
      <c r="E329" s="191" t="s">
        <v>201</v>
      </c>
      <c r="F329" s="195">
        <v>27.14</v>
      </c>
      <c r="G329" s="256">
        <f t="shared" si="16"/>
        <v>6.785</v>
      </c>
      <c r="H329" s="189"/>
    </row>
    <row r="330" spans="1:8" ht="19.5" customHeight="1">
      <c r="A330" s="189"/>
      <c r="B330" s="192" t="s">
        <v>278</v>
      </c>
      <c r="C330" s="193"/>
      <c r="D330" s="254">
        <v>0.04</v>
      </c>
      <c r="E330" s="191" t="s">
        <v>189</v>
      </c>
      <c r="F330" s="195">
        <v>390</v>
      </c>
      <c r="G330" s="256">
        <f t="shared" si="16"/>
        <v>15.6</v>
      </c>
      <c r="H330" s="189"/>
    </row>
    <row r="331" spans="1:8" ht="19.5" customHeight="1">
      <c r="A331" s="189"/>
      <c r="B331" s="192" t="s">
        <v>279</v>
      </c>
      <c r="C331" s="193"/>
      <c r="D331" s="194">
        <v>6</v>
      </c>
      <c r="E331" s="191" t="s">
        <v>206</v>
      </c>
      <c r="F331" s="199">
        <v>0.0164</v>
      </c>
      <c r="G331" s="256">
        <f t="shared" si="16"/>
        <v>0.09840000000000002</v>
      </c>
      <c r="H331" s="189"/>
    </row>
    <row r="332" spans="1:8" ht="19.5" customHeight="1">
      <c r="A332" s="189"/>
      <c r="B332" s="192" t="s">
        <v>331</v>
      </c>
      <c r="C332" s="193"/>
      <c r="D332" s="198">
        <v>0.02</v>
      </c>
      <c r="E332" s="191" t="s">
        <v>201</v>
      </c>
      <c r="F332" s="195">
        <v>165</v>
      </c>
      <c r="G332" s="256">
        <f t="shared" si="16"/>
        <v>3.3000000000000003</v>
      </c>
      <c r="H332" s="189"/>
    </row>
    <row r="333" spans="1:8" ht="19.5" customHeight="1">
      <c r="A333" s="288"/>
      <c r="B333" s="289"/>
      <c r="C333" s="290" t="s">
        <v>340</v>
      </c>
      <c r="D333" s="291">
        <v>1</v>
      </c>
      <c r="E333" s="292" t="s">
        <v>190</v>
      </c>
      <c r="F333" s="293" t="s">
        <v>208</v>
      </c>
      <c r="G333" s="294">
        <f>SUM(G327:G332)</f>
        <v>384.7034000000001</v>
      </c>
      <c r="H333" s="295" t="s">
        <v>209</v>
      </c>
    </row>
    <row r="334" spans="1:8" ht="19.5" customHeight="1">
      <c r="A334" s="296">
        <v>8.21</v>
      </c>
      <c r="B334" s="187" t="s">
        <v>341</v>
      </c>
      <c r="C334" s="188"/>
      <c r="D334" s="189"/>
      <c r="E334" s="189"/>
      <c r="F334" s="190"/>
      <c r="G334" s="191" t="s">
        <v>198</v>
      </c>
      <c r="H334" s="189"/>
    </row>
    <row r="335" spans="1:8" ht="19.5" customHeight="1">
      <c r="A335" s="189"/>
      <c r="B335" s="192" t="s">
        <v>342</v>
      </c>
      <c r="C335" s="193"/>
      <c r="D335" s="194">
        <v>105</v>
      </c>
      <c r="E335" s="191" t="s">
        <v>294</v>
      </c>
      <c r="F335" s="195">
        <v>4.7</v>
      </c>
      <c r="G335" s="256">
        <f>D335*F335</f>
        <v>493.5</v>
      </c>
      <c r="H335" s="189"/>
    </row>
    <row r="336" spans="1:8" ht="19.5" customHeight="1">
      <c r="A336" s="265"/>
      <c r="B336" s="259" t="s">
        <v>245</v>
      </c>
      <c r="C336" s="260"/>
      <c r="D336" s="305">
        <v>18</v>
      </c>
      <c r="E336" s="262" t="s">
        <v>201</v>
      </c>
      <c r="F336" s="306">
        <v>2.34</v>
      </c>
      <c r="G336" s="307">
        <f>D336*F336</f>
        <v>42.12</v>
      </c>
      <c r="H336" s="308" t="s">
        <v>198</v>
      </c>
    </row>
    <row r="337" spans="1:8" ht="19.5" customHeight="1">
      <c r="A337" s="189"/>
      <c r="B337" s="192" t="s">
        <v>336</v>
      </c>
      <c r="C337" s="188"/>
      <c r="D337" s="254">
        <v>0.25</v>
      </c>
      <c r="E337" s="191" t="s">
        <v>201</v>
      </c>
      <c r="F337" s="195">
        <v>27.14</v>
      </c>
      <c r="G337" s="256">
        <f>D337*F337</f>
        <v>6.785</v>
      </c>
      <c r="H337" s="189"/>
    </row>
    <row r="338" spans="1:8" ht="19.5" customHeight="1">
      <c r="A338" s="189"/>
      <c r="B338" s="192" t="s">
        <v>278</v>
      </c>
      <c r="C338" s="193"/>
      <c r="D338" s="254">
        <v>0.04</v>
      </c>
      <c r="E338" s="191" t="s">
        <v>189</v>
      </c>
      <c r="F338" s="195">
        <v>390</v>
      </c>
      <c r="G338" s="256">
        <f>D338*F338</f>
        <v>15.6</v>
      </c>
      <c r="H338" s="189"/>
    </row>
    <row r="339" spans="1:8" ht="19.5" customHeight="1">
      <c r="A339" s="189"/>
      <c r="B339" s="192" t="s">
        <v>279</v>
      </c>
      <c r="C339" s="193"/>
      <c r="D339" s="194">
        <v>6</v>
      </c>
      <c r="E339" s="191" t="s">
        <v>206</v>
      </c>
      <c r="F339" s="199">
        <v>0.0164</v>
      </c>
      <c r="G339" s="256">
        <f>D339*F339</f>
        <v>0.09840000000000002</v>
      </c>
      <c r="H339" s="189"/>
    </row>
    <row r="340" spans="1:8" ht="19.5" customHeight="1">
      <c r="A340" s="189"/>
      <c r="B340" s="192"/>
      <c r="C340" s="188" t="s">
        <v>343</v>
      </c>
      <c r="D340" s="194">
        <v>1</v>
      </c>
      <c r="E340" s="191" t="s">
        <v>190</v>
      </c>
      <c r="F340" s="212" t="s">
        <v>208</v>
      </c>
      <c r="G340" s="213">
        <f>SUM(G335:G339)</f>
        <v>558.1034</v>
      </c>
      <c r="H340" s="214" t="s">
        <v>209</v>
      </c>
    </row>
    <row r="341" spans="1:8" s="185" customFormat="1" ht="21.75">
      <c r="A341" s="179">
        <v>9</v>
      </c>
      <c r="B341" s="180" t="s">
        <v>344</v>
      </c>
      <c r="C341" s="217"/>
      <c r="D341" s="189"/>
      <c r="E341" s="189"/>
      <c r="F341" s="309"/>
      <c r="G341" s="310" t="s">
        <v>198</v>
      </c>
      <c r="H341" s="311"/>
    </row>
    <row r="342" spans="1:8" ht="20.25">
      <c r="A342" s="208">
        <v>9.1</v>
      </c>
      <c r="B342" s="187" t="s">
        <v>345</v>
      </c>
      <c r="C342" s="188"/>
      <c r="D342" s="189"/>
      <c r="E342" s="189"/>
      <c r="F342" s="195" t="s">
        <v>198</v>
      </c>
      <c r="G342" s="256" t="s">
        <v>198</v>
      </c>
      <c r="H342" s="228" t="s">
        <v>198</v>
      </c>
    </row>
    <row r="343" spans="1:8" ht="20.25">
      <c r="A343" s="189"/>
      <c r="B343" s="187" t="s">
        <v>346</v>
      </c>
      <c r="C343" s="188"/>
      <c r="D343" s="198" t="s">
        <v>198</v>
      </c>
      <c r="E343" s="191" t="s">
        <v>198</v>
      </c>
      <c r="F343" s="195" t="s">
        <v>198</v>
      </c>
      <c r="G343" s="256" t="s">
        <v>198</v>
      </c>
      <c r="H343" s="228" t="s">
        <v>198</v>
      </c>
    </row>
    <row r="344" spans="1:8" ht="19.5">
      <c r="A344" s="189"/>
      <c r="B344" s="192"/>
      <c r="C344" s="188" t="s">
        <v>347</v>
      </c>
      <c r="D344" s="312">
        <v>0.602</v>
      </c>
      <c r="E344" s="191" t="s">
        <v>348</v>
      </c>
      <c r="F344" s="195">
        <v>620</v>
      </c>
      <c r="G344" s="256">
        <f>D344*F344</f>
        <v>373.24</v>
      </c>
      <c r="H344" s="189"/>
    </row>
    <row r="345" spans="1:8" ht="19.5">
      <c r="A345" s="189"/>
      <c r="B345" s="192"/>
      <c r="C345" s="188" t="s">
        <v>349</v>
      </c>
      <c r="D345" s="312">
        <v>0.226</v>
      </c>
      <c r="E345" s="191" t="s">
        <v>348</v>
      </c>
      <c r="F345" s="252">
        <v>525</v>
      </c>
      <c r="G345" s="256">
        <f>D345*F345</f>
        <v>118.65</v>
      </c>
      <c r="H345" s="189"/>
    </row>
    <row r="346" spans="1:8" ht="19.5">
      <c r="A346" s="189"/>
      <c r="B346" s="192"/>
      <c r="C346" s="188" t="s">
        <v>350</v>
      </c>
      <c r="D346" s="198">
        <v>0.15</v>
      </c>
      <c r="E346" s="191" t="s">
        <v>201</v>
      </c>
      <c r="F346" s="313">
        <v>24.46</v>
      </c>
      <c r="G346" s="256">
        <f>D346*F346</f>
        <v>3.669</v>
      </c>
      <c r="H346" s="189"/>
    </row>
    <row r="347" spans="1:8" ht="20.25">
      <c r="A347" s="200"/>
      <c r="B347" s="201"/>
      <c r="C347" s="202" t="s">
        <v>351</v>
      </c>
      <c r="D347" s="203">
        <v>1</v>
      </c>
      <c r="E347" s="204" t="s">
        <v>190</v>
      </c>
      <c r="F347" s="205" t="s">
        <v>208</v>
      </c>
      <c r="G347" s="206">
        <f>SUM(G342:G346)</f>
        <v>495.55899999999997</v>
      </c>
      <c r="H347" s="207" t="s">
        <v>209</v>
      </c>
    </row>
    <row r="348" spans="1:8" ht="20.25">
      <c r="A348" s="208">
        <v>9.2</v>
      </c>
      <c r="B348" s="284" t="s">
        <v>352</v>
      </c>
      <c r="C348" s="193"/>
      <c r="D348" s="189"/>
      <c r="E348" s="189"/>
      <c r="F348" s="252" t="s">
        <v>198</v>
      </c>
      <c r="G348" s="273" t="s">
        <v>198</v>
      </c>
      <c r="H348" s="234" t="s">
        <v>198</v>
      </c>
    </row>
    <row r="349" spans="1:8" ht="20.25">
      <c r="A349" s="189"/>
      <c r="B349" s="187" t="s">
        <v>353</v>
      </c>
      <c r="C349" s="188"/>
      <c r="D349" s="198" t="s">
        <v>198</v>
      </c>
      <c r="E349" s="191" t="s">
        <v>198</v>
      </c>
      <c r="F349" s="195" t="s">
        <v>198</v>
      </c>
      <c r="G349" s="256" t="s">
        <v>198</v>
      </c>
      <c r="H349" s="228" t="s">
        <v>198</v>
      </c>
    </row>
    <row r="350" spans="1:8" ht="19.5">
      <c r="A350" s="189"/>
      <c r="B350" s="192"/>
      <c r="C350" s="188" t="s">
        <v>347</v>
      </c>
      <c r="D350" s="312">
        <v>0.602</v>
      </c>
      <c r="E350" s="191" t="s">
        <v>348</v>
      </c>
      <c r="F350" s="195">
        <v>620</v>
      </c>
      <c r="G350" s="256">
        <f>D350*F350</f>
        <v>373.24</v>
      </c>
      <c r="H350" s="189"/>
    </row>
    <row r="351" spans="1:8" ht="19.5">
      <c r="A351" s="189"/>
      <c r="B351" s="192"/>
      <c r="C351" s="188" t="s">
        <v>349</v>
      </c>
      <c r="D351" s="312">
        <v>0.226</v>
      </c>
      <c r="E351" s="191" t="s">
        <v>348</v>
      </c>
      <c r="F351" s="252">
        <v>525</v>
      </c>
      <c r="G351" s="256">
        <f>D351*F351</f>
        <v>118.65</v>
      </c>
      <c r="H351" s="189"/>
    </row>
    <row r="352" spans="1:8" ht="19.5">
      <c r="A352" s="189"/>
      <c r="B352" s="192"/>
      <c r="C352" s="188" t="s">
        <v>350</v>
      </c>
      <c r="D352" s="198">
        <v>0.15</v>
      </c>
      <c r="E352" s="191" t="s">
        <v>201</v>
      </c>
      <c r="F352" s="313">
        <v>24.46</v>
      </c>
      <c r="G352" s="256">
        <f>D352*F352</f>
        <v>3.669</v>
      </c>
      <c r="H352" s="189"/>
    </row>
    <row r="353" spans="1:8" ht="20.25">
      <c r="A353" s="200"/>
      <c r="B353" s="201"/>
      <c r="C353" s="202" t="s">
        <v>354</v>
      </c>
      <c r="D353" s="203">
        <v>1</v>
      </c>
      <c r="E353" s="204" t="s">
        <v>190</v>
      </c>
      <c r="F353" s="205" t="s">
        <v>208</v>
      </c>
      <c r="G353" s="206">
        <f>SUM(G348:G352)</f>
        <v>495.55899999999997</v>
      </c>
      <c r="H353" s="207" t="s">
        <v>209</v>
      </c>
    </row>
    <row r="354" spans="1:8" ht="20.25">
      <c r="A354" s="208">
        <v>9.3</v>
      </c>
      <c r="B354" s="187" t="s">
        <v>355</v>
      </c>
      <c r="C354" s="188"/>
      <c r="D354" s="189"/>
      <c r="E354" s="189"/>
      <c r="F354" s="195" t="s">
        <v>198</v>
      </c>
      <c r="G354" s="256" t="s">
        <v>198</v>
      </c>
      <c r="H354" s="228" t="s">
        <v>198</v>
      </c>
    </row>
    <row r="355" spans="1:8" ht="20.25">
      <c r="A355" s="189"/>
      <c r="B355" s="187" t="s">
        <v>356</v>
      </c>
      <c r="C355" s="188"/>
      <c r="D355" s="198" t="s">
        <v>198</v>
      </c>
      <c r="E355" s="191" t="s">
        <v>198</v>
      </c>
      <c r="F355" s="195" t="s">
        <v>198</v>
      </c>
      <c r="G355" s="256" t="s">
        <v>198</v>
      </c>
      <c r="H355" s="228" t="s">
        <v>198</v>
      </c>
    </row>
    <row r="356" spans="1:8" ht="19.5">
      <c r="A356" s="189"/>
      <c r="B356" s="192"/>
      <c r="C356" s="188" t="s">
        <v>347</v>
      </c>
      <c r="D356" s="312">
        <v>0.725</v>
      </c>
      <c r="E356" s="191" t="s">
        <v>348</v>
      </c>
      <c r="F356" s="195">
        <v>415</v>
      </c>
      <c r="G356" s="256">
        <f>D356*F356</f>
        <v>300.875</v>
      </c>
      <c r="H356" s="189"/>
    </row>
    <row r="357" spans="1:8" ht="19.5">
      <c r="A357" s="189"/>
      <c r="B357" s="192"/>
      <c r="C357" s="188" t="s">
        <v>357</v>
      </c>
      <c r="D357" s="312">
        <v>0.226</v>
      </c>
      <c r="E357" s="191" t="s">
        <v>348</v>
      </c>
      <c r="F357" s="252">
        <v>842</v>
      </c>
      <c r="G357" s="256">
        <f>D357*F357</f>
        <v>190.292</v>
      </c>
      <c r="H357" s="189"/>
    </row>
    <row r="358" spans="1:8" ht="19.5">
      <c r="A358" s="189"/>
      <c r="B358" s="192"/>
      <c r="C358" s="188" t="s">
        <v>350</v>
      </c>
      <c r="D358" s="198">
        <v>0.15</v>
      </c>
      <c r="E358" s="191" t="s">
        <v>201</v>
      </c>
      <c r="F358" s="313">
        <v>24.46</v>
      </c>
      <c r="G358" s="256">
        <f>D358*F358</f>
        <v>3.669</v>
      </c>
      <c r="H358" s="189"/>
    </row>
    <row r="359" spans="1:8" ht="20.25">
      <c r="A359" s="200"/>
      <c r="B359" s="201"/>
      <c r="C359" s="202" t="s">
        <v>351</v>
      </c>
      <c r="D359" s="203">
        <v>1</v>
      </c>
      <c r="E359" s="204" t="s">
        <v>190</v>
      </c>
      <c r="F359" s="205" t="s">
        <v>208</v>
      </c>
      <c r="G359" s="206">
        <f>SUM(G354:G358)</f>
        <v>494.836</v>
      </c>
      <c r="H359" s="207" t="s">
        <v>209</v>
      </c>
    </row>
    <row r="360" spans="1:8" ht="20.25">
      <c r="A360" s="208">
        <v>9.4</v>
      </c>
      <c r="B360" s="284" t="s">
        <v>358</v>
      </c>
      <c r="C360" s="193"/>
      <c r="D360" s="189"/>
      <c r="E360" s="189"/>
      <c r="F360" s="252" t="s">
        <v>198</v>
      </c>
      <c r="G360" s="273" t="s">
        <v>198</v>
      </c>
      <c r="H360" s="234" t="s">
        <v>198</v>
      </c>
    </row>
    <row r="361" spans="1:8" ht="20.25">
      <c r="A361" s="189"/>
      <c r="B361" s="187" t="s">
        <v>359</v>
      </c>
      <c r="C361" s="188"/>
      <c r="D361" s="198" t="s">
        <v>198</v>
      </c>
      <c r="E361" s="191" t="s">
        <v>198</v>
      </c>
      <c r="F361" s="195" t="s">
        <v>198</v>
      </c>
      <c r="G361" s="256" t="s">
        <v>198</v>
      </c>
      <c r="H361" s="228" t="s">
        <v>198</v>
      </c>
    </row>
    <row r="362" spans="1:8" ht="19.5">
      <c r="A362" s="189"/>
      <c r="B362" s="192"/>
      <c r="C362" s="188" t="s">
        <v>360</v>
      </c>
      <c r="D362" s="312">
        <v>0.725</v>
      </c>
      <c r="E362" s="191" t="s">
        <v>348</v>
      </c>
      <c r="F362" s="195">
        <v>415</v>
      </c>
      <c r="G362" s="256">
        <f>D362*F362</f>
        <v>300.875</v>
      </c>
      <c r="H362" s="189"/>
    </row>
    <row r="363" spans="1:8" ht="19.5">
      <c r="A363" s="189"/>
      <c r="B363" s="192"/>
      <c r="C363" s="188" t="s">
        <v>357</v>
      </c>
      <c r="D363" s="312">
        <v>0.226</v>
      </c>
      <c r="E363" s="191" t="s">
        <v>348</v>
      </c>
      <c r="F363" s="195">
        <v>415</v>
      </c>
      <c r="G363" s="256">
        <f>D363*F363</f>
        <v>93.79</v>
      </c>
      <c r="H363" s="189"/>
    </row>
    <row r="364" spans="1:8" ht="19.5">
      <c r="A364" s="189"/>
      <c r="B364" s="192"/>
      <c r="C364" s="188" t="s">
        <v>350</v>
      </c>
      <c r="D364" s="198">
        <v>0.15</v>
      </c>
      <c r="E364" s="191" t="s">
        <v>201</v>
      </c>
      <c r="F364" s="313">
        <v>24.46</v>
      </c>
      <c r="G364" s="256">
        <f>D364*F364</f>
        <v>3.669</v>
      </c>
      <c r="H364" s="189"/>
    </row>
    <row r="365" spans="1:8" ht="20.25">
      <c r="A365" s="265"/>
      <c r="B365" s="259"/>
      <c r="C365" s="260" t="s">
        <v>354</v>
      </c>
      <c r="D365" s="261">
        <v>1</v>
      </c>
      <c r="E365" s="262" t="s">
        <v>190</v>
      </c>
      <c r="F365" s="263" t="s">
        <v>208</v>
      </c>
      <c r="G365" s="264">
        <f>SUM(G360:G364)</f>
        <v>398.334</v>
      </c>
      <c r="H365" s="274" t="s">
        <v>209</v>
      </c>
    </row>
    <row r="366" spans="1:8" ht="20.25">
      <c r="A366" s="200"/>
      <c r="B366" s="201"/>
      <c r="C366" s="202"/>
      <c r="D366" s="203"/>
      <c r="E366" s="204"/>
      <c r="F366" s="205"/>
      <c r="G366" s="206"/>
      <c r="H366" s="207"/>
    </row>
    <row r="367" spans="1:8" ht="20.25">
      <c r="A367" s="208">
        <v>9.5</v>
      </c>
      <c r="B367" s="284" t="s">
        <v>361</v>
      </c>
      <c r="C367" s="193"/>
      <c r="D367" s="283" t="s">
        <v>198</v>
      </c>
      <c r="E367" s="211" t="s">
        <v>198</v>
      </c>
      <c r="F367" s="252" t="s">
        <v>198</v>
      </c>
      <c r="G367" s="273" t="s">
        <v>198</v>
      </c>
      <c r="H367" s="234" t="s">
        <v>198</v>
      </c>
    </row>
    <row r="368" spans="1:8" ht="20.25">
      <c r="A368" s="189"/>
      <c r="B368" s="187" t="s">
        <v>362</v>
      </c>
      <c r="C368" s="188"/>
      <c r="D368" s="198" t="s">
        <v>198</v>
      </c>
      <c r="E368" s="191" t="s">
        <v>198</v>
      </c>
      <c r="F368" s="195" t="s">
        <v>198</v>
      </c>
      <c r="G368" s="256" t="s">
        <v>198</v>
      </c>
      <c r="H368" s="228" t="s">
        <v>198</v>
      </c>
    </row>
    <row r="369" spans="1:8" ht="19.5">
      <c r="A369" s="189"/>
      <c r="B369" s="192"/>
      <c r="C369" s="188" t="s">
        <v>363</v>
      </c>
      <c r="D369" s="312">
        <v>0.547</v>
      </c>
      <c r="E369" s="191" t="s">
        <v>348</v>
      </c>
      <c r="F369" s="195">
        <v>787</v>
      </c>
      <c r="G369" s="256">
        <f>D369*F369</f>
        <v>430.48900000000003</v>
      </c>
      <c r="H369" s="314" t="s">
        <v>329</v>
      </c>
    </row>
    <row r="370" spans="1:8" ht="19.5">
      <c r="A370" s="189"/>
      <c r="B370" s="192"/>
      <c r="C370" s="188" t="s">
        <v>357</v>
      </c>
      <c r="D370" s="312">
        <v>0.226</v>
      </c>
      <c r="E370" s="191" t="s">
        <v>348</v>
      </c>
      <c r="F370" s="252">
        <v>842</v>
      </c>
      <c r="G370" s="256">
        <f>D370*F370</f>
        <v>190.292</v>
      </c>
      <c r="H370" s="189"/>
    </row>
    <row r="371" spans="1:8" ht="19.5">
      <c r="A371" s="189"/>
      <c r="B371" s="192"/>
      <c r="C371" s="188" t="s">
        <v>350</v>
      </c>
      <c r="D371" s="198">
        <v>0.15</v>
      </c>
      <c r="E371" s="191" t="s">
        <v>201</v>
      </c>
      <c r="F371" s="313">
        <v>24.46</v>
      </c>
      <c r="G371" s="256">
        <f>D371*F371</f>
        <v>3.669</v>
      </c>
      <c r="H371" s="189"/>
    </row>
    <row r="372" spans="1:8" ht="20.25">
      <c r="A372" s="200"/>
      <c r="B372" s="201"/>
      <c r="C372" s="202" t="s">
        <v>364</v>
      </c>
      <c r="D372" s="203">
        <v>1</v>
      </c>
      <c r="E372" s="204" t="s">
        <v>190</v>
      </c>
      <c r="F372" s="205" t="s">
        <v>208</v>
      </c>
      <c r="G372" s="206">
        <f>SUM(G367:G371)</f>
        <v>624.45</v>
      </c>
      <c r="H372" s="207" t="s">
        <v>209</v>
      </c>
    </row>
    <row r="373" spans="1:8" ht="20.25">
      <c r="A373" s="208">
        <v>9.6</v>
      </c>
      <c r="B373" s="284" t="s">
        <v>365</v>
      </c>
      <c r="C373" s="193"/>
      <c r="D373" s="283" t="s">
        <v>198</v>
      </c>
      <c r="E373" s="211" t="s">
        <v>198</v>
      </c>
      <c r="F373" s="252" t="s">
        <v>198</v>
      </c>
      <c r="G373" s="273" t="s">
        <v>198</v>
      </c>
      <c r="H373" s="234" t="s">
        <v>198</v>
      </c>
    </row>
    <row r="374" spans="1:8" ht="20.25">
      <c r="A374" s="189"/>
      <c r="B374" s="187" t="s">
        <v>362</v>
      </c>
      <c r="C374" s="188"/>
      <c r="D374" s="198" t="s">
        <v>198</v>
      </c>
      <c r="E374" s="191" t="s">
        <v>198</v>
      </c>
      <c r="F374" s="195" t="s">
        <v>198</v>
      </c>
      <c r="G374" s="256" t="s">
        <v>198</v>
      </c>
      <c r="H374" s="228" t="s">
        <v>198</v>
      </c>
    </row>
    <row r="375" spans="1:8" ht="19.5">
      <c r="A375" s="189"/>
      <c r="B375" s="192"/>
      <c r="C375" s="188" t="s">
        <v>366</v>
      </c>
      <c r="D375" s="312">
        <v>0.547</v>
      </c>
      <c r="E375" s="191" t="s">
        <v>348</v>
      </c>
      <c r="F375" s="195">
        <v>1992</v>
      </c>
      <c r="G375" s="256">
        <f>D375*F375</f>
        <v>1089.624</v>
      </c>
      <c r="H375" s="314" t="s">
        <v>329</v>
      </c>
    </row>
    <row r="376" spans="1:8" ht="19.5">
      <c r="A376" s="189"/>
      <c r="B376" s="192"/>
      <c r="C376" s="188" t="s">
        <v>357</v>
      </c>
      <c r="D376" s="312">
        <v>0.226</v>
      </c>
      <c r="E376" s="191" t="s">
        <v>348</v>
      </c>
      <c r="F376" s="252">
        <v>842</v>
      </c>
      <c r="G376" s="256">
        <f>D376*F376</f>
        <v>190.292</v>
      </c>
      <c r="H376" s="189"/>
    </row>
    <row r="377" spans="1:8" ht="19.5">
      <c r="A377" s="189"/>
      <c r="B377" s="192"/>
      <c r="C377" s="188" t="s">
        <v>350</v>
      </c>
      <c r="D377" s="198">
        <v>0.15</v>
      </c>
      <c r="E377" s="191" t="s">
        <v>201</v>
      </c>
      <c r="F377" s="313">
        <v>24.46</v>
      </c>
      <c r="G377" s="256">
        <f>D377*F377</f>
        <v>3.669</v>
      </c>
      <c r="H377" s="189"/>
    </row>
    <row r="378" spans="1:8" ht="20.25">
      <c r="A378" s="200"/>
      <c r="B378" s="201"/>
      <c r="C378" s="202" t="s">
        <v>367</v>
      </c>
      <c r="D378" s="203">
        <v>1</v>
      </c>
      <c r="E378" s="204" t="s">
        <v>190</v>
      </c>
      <c r="F378" s="205" t="s">
        <v>208</v>
      </c>
      <c r="G378" s="206">
        <f>SUM(G373:G377)</f>
        <v>1283.585</v>
      </c>
      <c r="H378" s="207" t="s">
        <v>209</v>
      </c>
    </row>
    <row r="379" spans="1:8" ht="20.25">
      <c r="A379" s="315">
        <v>9.7</v>
      </c>
      <c r="B379" s="187" t="s">
        <v>368</v>
      </c>
      <c r="C379" s="188"/>
      <c r="D379" s="198" t="s">
        <v>198</v>
      </c>
      <c r="E379" s="191" t="s">
        <v>198</v>
      </c>
      <c r="F379" s="195" t="s">
        <v>198</v>
      </c>
      <c r="G379" s="256" t="s">
        <v>198</v>
      </c>
      <c r="H379" s="228" t="s">
        <v>198</v>
      </c>
    </row>
    <row r="380" spans="1:8" ht="20.25">
      <c r="A380" s="189"/>
      <c r="B380" s="187" t="s">
        <v>362</v>
      </c>
      <c r="C380" s="188"/>
      <c r="D380" s="198" t="s">
        <v>198</v>
      </c>
      <c r="E380" s="191" t="s">
        <v>198</v>
      </c>
      <c r="F380" s="195" t="s">
        <v>198</v>
      </c>
      <c r="G380" s="256" t="s">
        <v>198</v>
      </c>
      <c r="H380" s="228" t="s">
        <v>198</v>
      </c>
    </row>
    <row r="381" spans="1:8" ht="19.5">
      <c r="A381" s="189"/>
      <c r="B381" s="192"/>
      <c r="C381" s="188" t="s">
        <v>369</v>
      </c>
      <c r="D381" s="312">
        <v>0.547</v>
      </c>
      <c r="E381" s="191" t="s">
        <v>348</v>
      </c>
      <c r="F381" s="316">
        <v>1482</v>
      </c>
      <c r="G381" s="256">
        <f>D381*F381</f>
        <v>810.6540000000001</v>
      </c>
      <c r="H381" s="314" t="s">
        <v>329</v>
      </c>
    </row>
    <row r="382" spans="1:8" ht="19.5">
      <c r="A382" s="189"/>
      <c r="B382" s="192"/>
      <c r="C382" s="188" t="s">
        <v>357</v>
      </c>
      <c r="D382" s="312">
        <v>0.226</v>
      </c>
      <c r="E382" s="191" t="s">
        <v>348</v>
      </c>
      <c r="F382" s="252">
        <v>842</v>
      </c>
      <c r="G382" s="256">
        <f>D382*F382</f>
        <v>190.292</v>
      </c>
      <c r="H382" s="189"/>
    </row>
    <row r="383" spans="1:8" ht="19.5">
      <c r="A383" s="189"/>
      <c r="B383" s="192"/>
      <c r="C383" s="188" t="s">
        <v>350</v>
      </c>
      <c r="D383" s="198">
        <v>0.15</v>
      </c>
      <c r="E383" s="191" t="s">
        <v>201</v>
      </c>
      <c r="F383" s="313">
        <v>24.46</v>
      </c>
      <c r="G383" s="256">
        <f>D383*F383</f>
        <v>3.669</v>
      </c>
      <c r="H383" s="189"/>
    </row>
    <row r="384" spans="1:8" ht="20.25">
      <c r="A384" s="200"/>
      <c r="B384" s="201"/>
      <c r="C384" s="202" t="s">
        <v>370</v>
      </c>
      <c r="D384" s="203">
        <v>1</v>
      </c>
      <c r="E384" s="204" t="s">
        <v>190</v>
      </c>
      <c r="F384" s="205" t="s">
        <v>208</v>
      </c>
      <c r="G384" s="206">
        <f>SUM(G379:G383)</f>
        <v>1004.6150000000001</v>
      </c>
      <c r="H384" s="207" t="s">
        <v>209</v>
      </c>
    </row>
    <row r="385" spans="1:8" ht="20.25">
      <c r="A385" s="208">
        <v>9.8</v>
      </c>
      <c r="B385" s="284" t="s">
        <v>371</v>
      </c>
      <c r="C385" s="193"/>
      <c r="D385" s="283" t="s">
        <v>198</v>
      </c>
      <c r="E385" s="211" t="s">
        <v>198</v>
      </c>
      <c r="F385" s="252" t="s">
        <v>198</v>
      </c>
      <c r="G385" s="273" t="s">
        <v>198</v>
      </c>
      <c r="H385" s="234" t="s">
        <v>198</v>
      </c>
    </row>
    <row r="386" spans="1:8" ht="20.25">
      <c r="A386" s="189"/>
      <c r="B386" s="187" t="s">
        <v>372</v>
      </c>
      <c r="C386" s="188"/>
      <c r="D386" s="198" t="s">
        <v>198</v>
      </c>
      <c r="E386" s="191" t="s">
        <v>198</v>
      </c>
      <c r="F386" s="195" t="s">
        <v>198</v>
      </c>
      <c r="G386" s="256" t="s">
        <v>198</v>
      </c>
      <c r="H386" s="228" t="s">
        <v>198</v>
      </c>
    </row>
    <row r="387" spans="1:8" ht="19.5">
      <c r="A387" s="189"/>
      <c r="B387" s="192"/>
      <c r="C387" s="188" t="s">
        <v>373</v>
      </c>
      <c r="D387" s="254">
        <v>1</v>
      </c>
      <c r="E387" s="191" t="s">
        <v>190</v>
      </c>
      <c r="F387" s="195">
        <v>167</v>
      </c>
      <c r="G387" s="256">
        <f>D387*F387</f>
        <v>167</v>
      </c>
      <c r="H387" s="314" t="s">
        <v>374</v>
      </c>
    </row>
    <row r="388" spans="1:8" ht="19.5">
      <c r="A388" s="189"/>
      <c r="B388" s="192"/>
      <c r="C388" s="188" t="s">
        <v>375</v>
      </c>
      <c r="D388" s="254">
        <v>0.48</v>
      </c>
      <c r="E388" s="191" t="s">
        <v>348</v>
      </c>
      <c r="F388" s="252">
        <v>400</v>
      </c>
      <c r="G388" s="256">
        <f>D388*F388</f>
        <v>192</v>
      </c>
      <c r="H388" s="314" t="s">
        <v>329</v>
      </c>
    </row>
    <row r="389" spans="1:8" ht="19.5">
      <c r="A389" s="189"/>
      <c r="B389" s="192"/>
      <c r="C389" s="188" t="s">
        <v>350</v>
      </c>
      <c r="D389" s="198">
        <v>0.2</v>
      </c>
      <c r="E389" s="191" t="s">
        <v>201</v>
      </c>
      <c r="F389" s="313">
        <v>24.46</v>
      </c>
      <c r="G389" s="256">
        <f>D389*F389</f>
        <v>4.892</v>
      </c>
      <c r="H389" s="189"/>
    </row>
    <row r="390" spans="1:8" ht="20.25">
      <c r="A390" s="200"/>
      <c r="B390" s="201"/>
      <c r="C390" s="202" t="s">
        <v>376</v>
      </c>
      <c r="D390" s="203">
        <v>1</v>
      </c>
      <c r="E390" s="204" t="s">
        <v>190</v>
      </c>
      <c r="F390" s="205" t="s">
        <v>208</v>
      </c>
      <c r="G390" s="206">
        <f>SUM(G385:G389)</f>
        <v>363.892</v>
      </c>
      <c r="H390" s="207" t="s">
        <v>209</v>
      </c>
    </row>
    <row r="391" spans="1:8" ht="20.25">
      <c r="A391" s="208">
        <v>9.9</v>
      </c>
      <c r="B391" s="284" t="s">
        <v>377</v>
      </c>
      <c r="C391" s="193"/>
      <c r="D391" s="283" t="s">
        <v>198</v>
      </c>
      <c r="E391" s="211" t="s">
        <v>198</v>
      </c>
      <c r="F391" s="252" t="s">
        <v>198</v>
      </c>
      <c r="G391" s="273" t="s">
        <v>198</v>
      </c>
      <c r="H391" s="234" t="s">
        <v>198</v>
      </c>
    </row>
    <row r="392" spans="1:8" ht="20.25">
      <c r="A392" s="189"/>
      <c r="B392" s="187" t="s">
        <v>378</v>
      </c>
      <c r="C392" s="188"/>
      <c r="D392" s="198" t="s">
        <v>198</v>
      </c>
      <c r="E392" s="191" t="s">
        <v>198</v>
      </c>
      <c r="F392" s="195" t="s">
        <v>198</v>
      </c>
      <c r="G392" s="256" t="s">
        <v>198</v>
      </c>
      <c r="H392" s="228" t="s">
        <v>198</v>
      </c>
    </row>
    <row r="393" spans="1:8" ht="19.5">
      <c r="A393" s="189"/>
      <c r="B393" s="192"/>
      <c r="C393" s="188" t="s">
        <v>373</v>
      </c>
      <c r="D393" s="254">
        <v>1</v>
      </c>
      <c r="E393" s="191" t="s">
        <v>190</v>
      </c>
      <c r="F393" s="195">
        <v>167</v>
      </c>
      <c r="G393" s="256">
        <f>D393*F393</f>
        <v>167</v>
      </c>
      <c r="H393" s="314" t="s">
        <v>374</v>
      </c>
    </row>
    <row r="394" spans="1:8" ht="19.5">
      <c r="A394" s="189"/>
      <c r="B394" s="192"/>
      <c r="C394" s="188" t="s">
        <v>379</v>
      </c>
      <c r="D394" s="254">
        <v>0.48</v>
      </c>
      <c r="E394" s="191" t="s">
        <v>348</v>
      </c>
      <c r="F394" s="252">
        <v>842</v>
      </c>
      <c r="G394" s="256">
        <f>D394*F394</f>
        <v>404.15999999999997</v>
      </c>
      <c r="H394" s="314" t="s">
        <v>329</v>
      </c>
    </row>
    <row r="395" spans="1:8" ht="19.5">
      <c r="A395" s="189"/>
      <c r="B395" s="192"/>
      <c r="C395" s="188" t="s">
        <v>350</v>
      </c>
      <c r="D395" s="198">
        <v>0.2</v>
      </c>
      <c r="E395" s="191" t="s">
        <v>201</v>
      </c>
      <c r="F395" s="313">
        <v>24.46</v>
      </c>
      <c r="G395" s="256">
        <f>D395*F395</f>
        <v>4.892</v>
      </c>
      <c r="H395" s="189"/>
    </row>
    <row r="396" spans="1:8" ht="20.25">
      <c r="A396" s="200"/>
      <c r="B396" s="201"/>
      <c r="C396" s="202" t="s">
        <v>376</v>
      </c>
      <c r="D396" s="203">
        <v>1</v>
      </c>
      <c r="E396" s="204" t="s">
        <v>190</v>
      </c>
      <c r="F396" s="205" t="s">
        <v>208</v>
      </c>
      <c r="G396" s="206">
        <f>SUM(G391:G395)</f>
        <v>576.052</v>
      </c>
      <c r="H396" s="207" t="s">
        <v>209</v>
      </c>
    </row>
    <row r="397" spans="1:8" ht="20.25">
      <c r="A397" s="296">
        <v>9.1</v>
      </c>
      <c r="B397" s="284" t="s">
        <v>380</v>
      </c>
      <c r="C397" s="193"/>
      <c r="D397" s="283" t="s">
        <v>198</v>
      </c>
      <c r="E397" s="211" t="s">
        <v>198</v>
      </c>
      <c r="F397" s="252" t="s">
        <v>198</v>
      </c>
      <c r="G397" s="273" t="s">
        <v>198</v>
      </c>
      <c r="H397" s="234" t="s">
        <v>198</v>
      </c>
    </row>
    <row r="398" spans="1:8" ht="20.25">
      <c r="A398" s="189"/>
      <c r="B398" s="187" t="s">
        <v>372</v>
      </c>
      <c r="C398" s="188"/>
      <c r="D398" s="198" t="s">
        <v>198</v>
      </c>
      <c r="E398" s="191" t="s">
        <v>198</v>
      </c>
      <c r="F398" s="195" t="s">
        <v>198</v>
      </c>
      <c r="G398" s="256" t="s">
        <v>198</v>
      </c>
      <c r="H398" s="228" t="s">
        <v>198</v>
      </c>
    </row>
    <row r="399" spans="1:8" ht="19.5">
      <c r="A399" s="189"/>
      <c r="B399" s="192"/>
      <c r="C399" s="188" t="s">
        <v>381</v>
      </c>
      <c r="D399" s="254">
        <v>1</v>
      </c>
      <c r="E399" s="191" t="s">
        <v>190</v>
      </c>
      <c r="F399" s="195">
        <v>255</v>
      </c>
      <c r="G399" s="256">
        <f>D399*F399</f>
        <v>255</v>
      </c>
      <c r="H399" s="314" t="s">
        <v>374</v>
      </c>
    </row>
    <row r="400" spans="1:8" ht="19.5">
      <c r="A400" s="189"/>
      <c r="B400" s="192"/>
      <c r="C400" s="188" t="s">
        <v>375</v>
      </c>
      <c r="D400" s="254">
        <v>0.48</v>
      </c>
      <c r="E400" s="191" t="s">
        <v>348</v>
      </c>
      <c r="F400" s="252">
        <v>400</v>
      </c>
      <c r="G400" s="256">
        <f>D400*F400</f>
        <v>192</v>
      </c>
      <c r="H400" s="314" t="s">
        <v>329</v>
      </c>
    </row>
    <row r="401" spans="1:8" ht="19.5">
      <c r="A401" s="189"/>
      <c r="B401" s="192"/>
      <c r="C401" s="188" t="s">
        <v>350</v>
      </c>
      <c r="D401" s="198">
        <v>0.2</v>
      </c>
      <c r="E401" s="191" t="s">
        <v>201</v>
      </c>
      <c r="F401" s="313">
        <v>24.46</v>
      </c>
      <c r="G401" s="256">
        <f>D401*F401</f>
        <v>4.892</v>
      </c>
      <c r="H401" s="189"/>
    </row>
    <row r="402" spans="1:8" ht="20.25">
      <c r="A402" s="200"/>
      <c r="B402" s="201"/>
      <c r="C402" s="202" t="s">
        <v>382</v>
      </c>
      <c r="D402" s="203">
        <v>1</v>
      </c>
      <c r="E402" s="204" t="s">
        <v>190</v>
      </c>
      <c r="F402" s="205" t="s">
        <v>208</v>
      </c>
      <c r="G402" s="206">
        <f>SUM(G397:G401)</f>
        <v>451.892</v>
      </c>
      <c r="H402" s="207" t="s">
        <v>209</v>
      </c>
    </row>
    <row r="403" spans="1:8" ht="20.25">
      <c r="A403" s="208">
        <v>9.11</v>
      </c>
      <c r="B403" s="284" t="s">
        <v>383</v>
      </c>
      <c r="C403" s="193"/>
      <c r="D403" s="283" t="s">
        <v>198</v>
      </c>
      <c r="E403" s="211" t="s">
        <v>198</v>
      </c>
      <c r="F403" s="252" t="s">
        <v>198</v>
      </c>
      <c r="G403" s="273" t="s">
        <v>198</v>
      </c>
      <c r="H403" s="234" t="s">
        <v>198</v>
      </c>
    </row>
    <row r="404" spans="1:8" ht="20.25">
      <c r="A404" s="189"/>
      <c r="B404" s="187" t="s">
        <v>378</v>
      </c>
      <c r="C404" s="188"/>
      <c r="D404" s="198" t="s">
        <v>198</v>
      </c>
      <c r="E404" s="191" t="s">
        <v>198</v>
      </c>
      <c r="F404" s="195" t="s">
        <v>198</v>
      </c>
      <c r="G404" s="256" t="s">
        <v>198</v>
      </c>
      <c r="H404" s="228" t="s">
        <v>198</v>
      </c>
    </row>
    <row r="405" spans="1:8" ht="19.5">
      <c r="A405" s="189"/>
      <c r="B405" s="192"/>
      <c r="C405" s="188" t="s">
        <v>381</v>
      </c>
      <c r="D405" s="254">
        <v>1</v>
      </c>
      <c r="E405" s="191" t="s">
        <v>190</v>
      </c>
      <c r="F405" s="195">
        <v>255</v>
      </c>
      <c r="G405" s="256">
        <f>D405*F405</f>
        <v>255</v>
      </c>
      <c r="H405" s="314" t="s">
        <v>374</v>
      </c>
    </row>
    <row r="406" spans="1:8" ht="19.5">
      <c r="A406" s="200"/>
      <c r="B406" s="201"/>
      <c r="C406" s="202" t="s">
        <v>379</v>
      </c>
      <c r="D406" s="247">
        <v>0.48</v>
      </c>
      <c r="E406" s="204" t="s">
        <v>348</v>
      </c>
      <c r="F406" s="248">
        <v>842</v>
      </c>
      <c r="G406" s="282">
        <f>D406*F406</f>
        <v>404.15999999999997</v>
      </c>
      <c r="H406" s="317" t="s">
        <v>329</v>
      </c>
    </row>
    <row r="407" spans="1:8" ht="19.5">
      <c r="A407" s="209"/>
      <c r="B407" s="250"/>
      <c r="C407" s="193" t="s">
        <v>350</v>
      </c>
      <c r="D407" s="283">
        <v>0.2</v>
      </c>
      <c r="E407" s="211" t="s">
        <v>201</v>
      </c>
      <c r="F407" s="313">
        <v>24.46</v>
      </c>
      <c r="G407" s="273">
        <f>D407*F407</f>
        <v>4.892</v>
      </c>
      <c r="H407" s="209"/>
    </row>
    <row r="408" spans="1:8" ht="20.25">
      <c r="A408" s="265"/>
      <c r="B408" s="259"/>
      <c r="C408" s="260" t="s">
        <v>382</v>
      </c>
      <c r="D408" s="261">
        <v>1</v>
      </c>
      <c r="E408" s="262" t="s">
        <v>190</v>
      </c>
      <c r="F408" s="263" t="s">
        <v>208</v>
      </c>
      <c r="G408" s="264">
        <f>SUM(G403:G407)</f>
        <v>664.052</v>
      </c>
      <c r="H408" s="274" t="s">
        <v>209</v>
      </c>
    </row>
    <row r="409" spans="1:8" ht="20.25">
      <c r="A409" s="200"/>
      <c r="B409" s="201"/>
      <c r="C409" s="202"/>
      <c r="D409" s="203"/>
      <c r="E409" s="204"/>
      <c r="F409" s="205"/>
      <c r="G409" s="206"/>
      <c r="H409" s="207"/>
    </row>
    <row r="410" spans="1:8" ht="20.25">
      <c r="A410" s="208">
        <v>9.12</v>
      </c>
      <c r="B410" s="284" t="s">
        <v>384</v>
      </c>
      <c r="C410" s="193"/>
      <c r="D410" s="283" t="s">
        <v>198</v>
      </c>
      <c r="E410" s="211" t="s">
        <v>198</v>
      </c>
      <c r="F410" s="252" t="s">
        <v>198</v>
      </c>
      <c r="G410" s="273" t="s">
        <v>198</v>
      </c>
      <c r="H410" s="234" t="s">
        <v>198</v>
      </c>
    </row>
    <row r="411" spans="1:8" ht="20.25">
      <c r="A411" s="189"/>
      <c r="B411" s="187" t="s">
        <v>372</v>
      </c>
      <c r="C411" s="188"/>
      <c r="D411" s="198" t="s">
        <v>198</v>
      </c>
      <c r="E411" s="191" t="s">
        <v>198</v>
      </c>
      <c r="F411" s="195" t="s">
        <v>198</v>
      </c>
      <c r="G411" s="256" t="s">
        <v>198</v>
      </c>
      <c r="H411" s="228" t="s">
        <v>198</v>
      </c>
    </row>
    <row r="412" spans="1:8" ht="19.5">
      <c r="A412" s="189"/>
      <c r="B412" s="192"/>
      <c r="C412" s="188" t="s">
        <v>385</v>
      </c>
      <c r="D412" s="254">
        <v>1</v>
      </c>
      <c r="E412" s="191" t="s">
        <v>190</v>
      </c>
      <c r="F412" s="195">
        <v>373</v>
      </c>
      <c r="G412" s="256">
        <f>D412*F412</f>
        <v>373</v>
      </c>
      <c r="H412" s="314" t="s">
        <v>374</v>
      </c>
    </row>
    <row r="413" spans="1:8" ht="19.5">
      <c r="A413" s="189"/>
      <c r="B413" s="192"/>
      <c r="C413" s="188" t="s">
        <v>375</v>
      </c>
      <c r="D413" s="254">
        <v>0.48</v>
      </c>
      <c r="E413" s="191" t="s">
        <v>348</v>
      </c>
      <c r="F413" s="252">
        <v>400</v>
      </c>
      <c r="G413" s="256">
        <f>D413*F413</f>
        <v>192</v>
      </c>
      <c r="H413" s="314" t="s">
        <v>329</v>
      </c>
    </row>
    <row r="414" spans="1:8" ht="19.5">
      <c r="A414" s="189"/>
      <c r="B414" s="192"/>
      <c r="C414" s="188" t="s">
        <v>350</v>
      </c>
      <c r="D414" s="198">
        <v>0.2</v>
      </c>
      <c r="E414" s="191" t="s">
        <v>201</v>
      </c>
      <c r="F414" s="313">
        <v>24.46</v>
      </c>
      <c r="G414" s="256">
        <f>D414*F414</f>
        <v>4.892</v>
      </c>
      <c r="H414" s="189"/>
    </row>
    <row r="415" spans="1:8" ht="20.25">
      <c r="A415" s="200"/>
      <c r="B415" s="201"/>
      <c r="C415" s="202" t="s">
        <v>386</v>
      </c>
      <c r="D415" s="203">
        <v>1</v>
      </c>
      <c r="E415" s="204" t="s">
        <v>190</v>
      </c>
      <c r="F415" s="205" t="s">
        <v>208</v>
      </c>
      <c r="G415" s="206">
        <f>SUM(G410:G414)</f>
        <v>569.892</v>
      </c>
      <c r="H415" s="207" t="s">
        <v>209</v>
      </c>
    </row>
    <row r="416" spans="1:8" ht="20.25">
      <c r="A416" s="296">
        <v>9.13</v>
      </c>
      <c r="B416" s="284" t="s">
        <v>387</v>
      </c>
      <c r="C416" s="193"/>
      <c r="D416" s="283" t="s">
        <v>198</v>
      </c>
      <c r="E416" s="211" t="s">
        <v>198</v>
      </c>
      <c r="F416" s="252" t="s">
        <v>198</v>
      </c>
      <c r="G416" s="273" t="s">
        <v>198</v>
      </c>
      <c r="H416" s="234" t="s">
        <v>198</v>
      </c>
    </row>
    <row r="417" spans="1:8" ht="20.25">
      <c r="A417" s="189"/>
      <c r="B417" s="187" t="s">
        <v>378</v>
      </c>
      <c r="C417" s="188"/>
      <c r="D417" s="198" t="s">
        <v>198</v>
      </c>
      <c r="E417" s="191" t="s">
        <v>198</v>
      </c>
      <c r="F417" s="195" t="s">
        <v>198</v>
      </c>
      <c r="G417" s="256" t="s">
        <v>198</v>
      </c>
      <c r="H417" s="228" t="s">
        <v>198</v>
      </c>
    </row>
    <row r="418" spans="1:8" ht="19.5">
      <c r="A418" s="189"/>
      <c r="B418" s="192"/>
      <c r="C418" s="188" t="s">
        <v>385</v>
      </c>
      <c r="D418" s="254">
        <v>1</v>
      </c>
      <c r="E418" s="191" t="s">
        <v>190</v>
      </c>
      <c r="F418" s="195">
        <v>373</v>
      </c>
      <c r="G418" s="256">
        <f>D418*F418</f>
        <v>373</v>
      </c>
      <c r="H418" s="314" t="s">
        <v>374</v>
      </c>
    </row>
    <row r="419" spans="1:8" ht="19.5">
      <c r="A419" s="189"/>
      <c r="B419" s="192"/>
      <c r="C419" s="188" t="s">
        <v>379</v>
      </c>
      <c r="D419" s="254">
        <v>0.48</v>
      </c>
      <c r="E419" s="191" t="s">
        <v>348</v>
      </c>
      <c r="F419" s="252">
        <v>842</v>
      </c>
      <c r="G419" s="256">
        <f>D419*F419</f>
        <v>404.15999999999997</v>
      </c>
      <c r="H419" s="314" t="s">
        <v>329</v>
      </c>
    </row>
    <row r="420" spans="1:8" ht="19.5">
      <c r="A420" s="189"/>
      <c r="B420" s="192"/>
      <c r="C420" s="188" t="s">
        <v>350</v>
      </c>
      <c r="D420" s="198">
        <v>0.2</v>
      </c>
      <c r="E420" s="191" t="s">
        <v>201</v>
      </c>
      <c r="F420" s="313">
        <v>24.46</v>
      </c>
      <c r="G420" s="256">
        <f>D420*F420</f>
        <v>4.892</v>
      </c>
      <c r="H420" s="189"/>
    </row>
    <row r="421" spans="1:8" ht="20.25">
      <c r="A421" s="200"/>
      <c r="B421" s="201"/>
      <c r="C421" s="202" t="s">
        <v>386</v>
      </c>
      <c r="D421" s="203">
        <v>1</v>
      </c>
      <c r="E421" s="204" t="s">
        <v>190</v>
      </c>
      <c r="F421" s="205" t="s">
        <v>208</v>
      </c>
      <c r="G421" s="206">
        <f>SUM(G416:G420)</f>
        <v>782.052</v>
      </c>
      <c r="H421" s="207" t="s">
        <v>209</v>
      </c>
    </row>
    <row r="422" spans="1:8" ht="20.25">
      <c r="A422" s="208">
        <v>9.14</v>
      </c>
      <c r="B422" s="284" t="s">
        <v>371</v>
      </c>
      <c r="C422" s="193"/>
      <c r="D422" s="283" t="s">
        <v>198</v>
      </c>
      <c r="E422" s="211" t="s">
        <v>198</v>
      </c>
      <c r="F422" s="252" t="s">
        <v>198</v>
      </c>
      <c r="G422" s="273" t="s">
        <v>198</v>
      </c>
      <c r="H422" s="234" t="s">
        <v>198</v>
      </c>
    </row>
    <row r="423" spans="1:8" ht="20.25">
      <c r="A423" s="189"/>
      <c r="B423" s="187" t="s">
        <v>388</v>
      </c>
      <c r="C423" s="188"/>
      <c r="D423" s="198" t="s">
        <v>198</v>
      </c>
      <c r="E423" s="191" t="s">
        <v>198</v>
      </c>
      <c r="F423" s="195" t="s">
        <v>198</v>
      </c>
      <c r="G423" s="256" t="s">
        <v>198</v>
      </c>
      <c r="H423" s="228" t="s">
        <v>198</v>
      </c>
    </row>
    <row r="424" spans="1:8" ht="19.5">
      <c r="A424" s="189"/>
      <c r="B424" s="192"/>
      <c r="C424" s="188" t="s">
        <v>373</v>
      </c>
      <c r="D424" s="254">
        <v>2</v>
      </c>
      <c r="E424" s="191" t="s">
        <v>190</v>
      </c>
      <c r="F424" s="195">
        <v>167</v>
      </c>
      <c r="G424" s="256">
        <f>D424*F424</f>
        <v>334</v>
      </c>
      <c r="H424" s="314" t="s">
        <v>374</v>
      </c>
    </row>
    <row r="425" spans="1:8" ht="19.5">
      <c r="A425" s="189"/>
      <c r="B425" s="192"/>
      <c r="C425" s="188" t="s">
        <v>389</v>
      </c>
      <c r="D425" s="254">
        <v>0.48</v>
      </c>
      <c r="E425" s="191" t="s">
        <v>348</v>
      </c>
      <c r="F425" s="252">
        <v>396</v>
      </c>
      <c r="G425" s="256">
        <f>D425*F425</f>
        <v>190.07999999999998</v>
      </c>
      <c r="H425" s="314" t="s">
        <v>329</v>
      </c>
    </row>
    <row r="426" spans="1:8" ht="19.5">
      <c r="A426" s="189"/>
      <c r="B426" s="192"/>
      <c r="C426" s="188" t="s">
        <v>350</v>
      </c>
      <c r="D426" s="198">
        <v>0.28</v>
      </c>
      <c r="E426" s="191" t="s">
        <v>201</v>
      </c>
      <c r="F426" s="313">
        <v>24.46</v>
      </c>
      <c r="G426" s="256">
        <f>D426*F426</f>
        <v>6.848800000000001</v>
      </c>
      <c r="H426" s="189"/>
    </row>
    <row r="427" spans="1:8" ht="20.25">
      <c r="A427" s="200"/>
      <c r="B427" s="201"/>
      <c r="C427" s="202" t="s">
        <v>390</v>
      </c>
      <c r="D427" s="203">
        <v>1</v>
      </c>
      <c r="E427" s="204" t="s">
        <v>190</v>
      </c>
      <c r="F427" s="205" t="s">
        <v>208</v>
      </c>
      <c r="G427" s="206">
        <f>SUM(G422:G426)</f>
        <v>530.9287999999999</v>
      </c>
      <c r="H427" s="207" t="s">
        <v>209</v>
      </c>
    </row>
    <row r="428" spans="1:8" ht="20.25">
      <c r="A428" s="208">
        <v>9.15</v>
      </c>
      <c r="B428" s="284" t="s">
        <v>377</v>
      </c>
      <c r="C428" s="193"/>
      <c r="D428" s="283" t="s">
        <v>198</v>
      </c>
      <c r="E428" s="211" t="s">
        <v>198</v>
      </c>
      <c r="F428" s="252" t="s">
        <v>198</v>
      </c>
      <c r="G428" s="273" t="s">
        <v>198</v>
      </c>
      <c r="H428" s="234" t="s">
        <v>198</v>
      </c>
    </row>
    <row r="429" spans="1:8" ht="20.25">
      <c r="A429" s="189"/>
      <c r="B429" s="187" t="s">
        <v>391</v>
      </c>
      <c r="C429" s="188"/>
      <c r="D429" s="198" t="s">
        <v>198</v>
      </c>
      <c r="E429" s="191" t="s">
        <v>198</v>
      </c>
      <c r="F429" s="195" t="s">
        <v>198</v>
      </c>
      <c r="G429" s="256" t="s">
        <v>198</v>
      </c>
      <c r="H429" s="228" t="s">
        <v>198</v>
      </c>
    </row>
    <row r="430" spans="1:8" ht="19.5">
      <c r="A430" s="189"/>
      <c r="B430" s="192"/>
      <c r="C430" s="188" t="s">
        <v>373</v>
      </c>
      <c r="D430" s="254">
        <v>2</v>
      </c>
      <c r="E430" s="191" t="s">
        <v>190</v>
      </c>
      <c r="F430" s="195">
        <v>167</v>
      </c>
      <c r="G430" s="256">
        <f>D430*F430</f>
        <v>334</v>
      </c>
      <c r="H430" s="314" t="s">
        <v>374</v>
      </c>
    </row>
    <row r="431" spans="1:8" ht="19.5">
      <c r="A431" s="189"/>
      <c r="B431" s="192"/>
      <c r="C431" s="188" t="s">
        <v>392</v>
      </c>
      <c r="D431" s="254">
        <v>0.48</v>
      </c>
      <c r="E431" s="191" t="s">
        <v>348</v>
      </c>
      <c r="F431" s="252">
        <v>838</v>
      </c>
      <c r="G431" s="256">
        <f>D431*F431</f>
        <v>402.24</v>
      </c>
      <c r="H431" s="314" t="s">
        <v>329</v>
      </c>
    </row>
    <row r="432" spans="1:8" ht="19.5">
      <c r="A432" s="189"/>
      <c r="B432" s="192"/>
      <c r="C432" s="188" t="s">
        <v>350</v>
      </c>
      <c r="D432" s="198">
        <v>0.28</v>
      </c>
      <c r="E432" s="191" t="s">
        <v>201</v>
      </c>
      <c r="F432" s="313">
        <v>24.46</v>
      </c>
      <c r="G432" s="256">
        <f>D432*F432</f>
        <v>6.848800000000001</v>
      </c>
      <c r="H432" s="189"/>
    </row>
    <row r="433" spans="1:8" ht="20.25">
      <c r="A433" s="200"/>
      <c r="B433" s="201"/>
      <c r="C433" s="202" t="s">
        <v>390</v>
      </c>
      <c r="D433" s="203">
        <v>1</v>
      </c>
      <c r="E433" s="204" t="s">
        <v>190</v>
      </c>
      <c r="F433" s="205" t="s">
        <v>208</v>
      </c>
      <c r="G433" s="206">
        <f>SUM(G428:G432)</f>
        <v>743.0888</v>
      </c>
      <c r="H433" s="207" t="s">
        <v>209</v>
      </c>
    </row>
    <row r="434" spans="1:8" ht="20.25">
      <c r="A434" s="208">
        <v>9.16</v>
      </c>
      <c r="B434" s="284" t="s">
        <v>380</v>
      </c>
      <c r="C434" s="193"/>
      <c r="D434" s="283" t="s">
        <v>198</v>
      </c>
      <c r="E434" s="211" t="s">
        <v>198</v>
      </c>
      <c r="F434" s="252" t="s">
        <v>198</v>
      </c>
      <c r="G434" s="273" t="s">
        <v>198</v>
      </c>
      <c r="H434" s="234" t="s">
        <v>198</v>
      </c>
    </row>
    <row r="435" spans="1:8" ht="20.25">
      <c r="A435" s="189"/>
      <c r="B435" s="187" t="s">
        <v>388</v>
      </c>
      <c r="C435" s="188"/>
      <c r="D435" s="198" t="s">
        <v>198</v>
      </c>
      <c r="E435" s="191" t="s">
        <v>198</v>
      </c>
      <c r="F435" s="195" t="s">
        <v>198</v>
      </c>
      <c r="G435" s="256" t="s">
        <v>198</v>
      </c>
      <c r="H435" s="228" t="s">
        <v>198</v>
      </c>
    </row>
    <row r="436" spans="1:8" ht="19.5">
      <c r="A436" s="189"/>
      <c r="B436" s="192"/>
      <c r="C436" s="188" t="s">
        <v>381</v>
      </c>
      <c r="D436" s="254">
        <v>2</v>
      </c>
      <c r="E436" s="191" t="s">
        <v>190</v>
      </c>
      <c r="F436" s="195">
        <v>255</v>
      </c>
      <c r="G436" s="256">
        <f>D436*F436</f>
        <v>510</v>
      </c>
      <c r="H436" s="314" t="s">
        <v>374</v>
      </c>
    </row>
    <row r="437" spans="1:8" ht="19.5">
      <c r="A437" s="189"/>
      <c r="B437" s="192"/>
      <c r="C437" s="188" t="s">
        <v>389</v>
      </c>
      <c r="D437" s="254">
        <v>0.48</v>
      </c>
      <c r="E437" s="191" t="s">
        <v>348</v>
      </c>
      <c r="F437" s="252">
        <v>396</v>
      </c>
      <c r="G437" s="256">
        <f>D437*F437</f>
        <v>190.07999999999998</v>
      </c>
      <c r="H437" s="314" t="s">
        <v>329</v>
      </c>
    </row>
    <row r="438" spans="1:8" ht="19.5">
      <c r="A438" s="189"/>
      <c r="B438" s="192"/>
      <c r="C438" s="188" t="s">
        <v>350</v>
      </c>
      <c r="D438" s="198">
        <v>0.28</v>
      </c>
      <c r="E438" s="191" t="s">
        <v>201</v>
      </c>
      <c r="F438" s="313">
        <v>24.46</v>
      </c>
      <c r="G438" s="256">
        <f>D438*F438</f>
        <v>6.848800000000001</v>
      </c>
      <c r="H438" s="189"/>
    </row>
    <row r="439" spans="1:8" ht="20.25">
      <c r="A439" s="200"/>
      <c r="B439" s="201"/>
      <c r="C439" s="202" t="s">
        <v>393</v>
      </c>
      <c r="D439" s="203">
        <v>1</v>
      </c>
      <c r="E439" s="204" t="s">
        <v>190</v>
      </c>
      <c r="F439" s="205" t="s">
        <v>208</v>
      </c>
      <c r="G439" s="206">
        <f>SUM(G434:G438)</f>
        <v>706.9287999999999</v>
      </c>
      <c r="H439" s="207" t="s">
        <v>209</v>
      </c>
    </row>
    <row r="440" spans="1:8" ht="20.25">
      <c r="A440" s="208">
        <v>9.17</v>
      </c>
      <c r="B440" s="284" t="s">
        <v>383</v>
      </c>
      <c r="C440" s="193"/>
      <c r="D440" s="283" t="s">
        <v>198</v>
      </c>
      <c r="E440" s="211" t="s">
        <v>198</v>
      </c>
      <c r="F440" s="252" t="s">
        <v>198</v>
      </c>
      <c r="G440" s="273" t="s">
        <v>198</v>
      </c>
      <c r="H440" s="234" t="s">
        <v>198</v>
      </c>
    </row>
    <row r="441" spans="1:8" ht="20.25">
      <c r="A441" s="189"/>
      <c r="B441" s="187" t="s">
        <v>391</v>
      </c>
      <c r="C441" s="188"/>
      <c r="D441" s="198" t="s">
        <v>198</v>
      </c>
      <c r="E441" s="191" t="s">
        <v>198</v>
      </c>
      <c r="F441" s="195" t="s">
        <v>198</v>
      </c>
      <c r="G441" s="256" t="s">
        <v>198</v>
      </c>
      <c r="H441" s="228" t="s">
        <v>198</v>
      </c>
    </row>
    <row r="442" spans="1:8" ht="19.5">
      <c r="A442" s="189"/>
      <c r="B442" s="192"/>
      <c r="C442" s="188" t="s">
        <v>381</v>
      </c>
      <c r="D442" s="254">
        <v>2</v>
      </c>
      <c r="E442" s="191" t="s">
        <v>190</v>
      </c>
      <c r="F442" s="195">
        <v>255</v>
      </c>
      <c r="G442" s="256">
        <f>D442*F442</f>
        <v>510</v>
      </c>
      <c r="H442" s="314" t="s">
        <v>374</v>
      </c>
    </row>
    <row r="443" spans="1:8" ht="19.5">
      <c r="A443" s="189"/>
      <c r="B443" s="192"/>
      <c r="C443" s="188" t="s">
        <v>392</v>
      </c>
      <c r="D443" s="254">
        <v>0.48</v>
      </c>
      <c r="E443" s="191" t="s">
        <v>348</v>
      </c>
      <c r="F443" s="252">
        <v>838</v>
      </c>
      <c r="G443" s="256">
        <f>D443*F443</f>
        <v>402.24</v>
      </c>
      <c r="H443" s="314" t="s">
        <v>329</v>
      </c>
    </row>
    <row r="444" spans="1:8" ht="19.5">
      <c r="A444" s="189"/>
      <c r="B444" s="192"/>
      <c r="C444" s="188" t="s">
        <v>350</v>
      </c>
      <c r="D444" s="198">
        <v>0.28</v>
      </c>
      <c r="E444" s="191" t="s">
        <v>201</v>
      </c>
      <c r="F444" s="313">
        <v>24.46</v>
      </c>
      <c r="G444" s="256">
        <f>D444*F444</f>
        <v>6.848800000000001</v>
      </c>
      <c r="H444" s="189"/>
    </row>
    <row r="445" spans="1:8" ht="20.25">
      <c r="A445" s="265"/>
      <c r="B445" s="259"/>
      <c r="C445" s="260" t="s">
        <v>393</v>
      </c>
      <c r="D445" s="261">
        <v>1</v>
      </c>
      <c r="E445" s="262" t="s">
        <v>190</v>
      </c>
      <c r="F445" s="263" t="s">
        <v>208</v>
      </c>
      <c r="G445" s="264">
        <f>SUM(G440:G444)</f>
        <v>919.0888</v>
      </c>
      <c r="H445" s="274" t="s">
        <v>209</v>
      </c>
    </row>
    <row r="446" spans="1:8" ht="20.25">
      <c r="A446" s="200"/>
      <c r="B446" s="201"/>
      <c r="C446" s="202"/>
      <c r="D446" s="203"/>
      <c r="E446" s="204"/>
      <c r="F446" s="205"/>
      <c r="G446" s="206"/>
      <c r="H446" s="207"/>
    </row>
    <row r="447" spans="1:8" ht="20.25">
      <c r="A447" s="296">
        <v>9.18</v>
      </c>
      <c r="B447" s="284" t="s">
        <v>384</v>
      </c>
      <c r="C447" s="193"/>
      <c r="D447" s="209"/>
      <c r="E447" s="209"/>
      <c r="F447" s="252" t="s">
        <v>198</v>
      </c>
      <c r="G447" s="273" t="s">
        <v>198</v>
      </c>
      <c r="H447" s="234" t="s">
        <v>198</v>
      </c>
    </row>
    <row r="448" spans="1:8" ht="20.25">
      <c r="A448" s="189"/>
      <c r="B448" s="187" t="s">
        <v>388</v>
      </c>
      <c r="C448" s="188"/>
      <c r="D448" s="198" t="s">
        <v>198</v>
      </c>
      <c r="E448" s="191" t="s">
        <v>198</v>
      </c>
      <c r="F448" s="195" t="s">
        <v>198</v>
      </c>
      <c r="G448" s="256" t="s">
        <v>198</v>
      </c>
      <c r="H448" s="228" t="s">
        <v>198</v>
      </c>
    </row>
    <row r="449" spans="1:8" ht="19.5">
      <c r="A449" s="189"/>
      <c r="B449" s="192"/>
      <c r="C449" s="188" t="s">
        <v>385</v>
      </c>
      <c r="D449" s="254">
        <v>2</v>
      </c>
      <c r="E449" s="191" t="s">
        <v>190</v>
      </c>
      <c r="F449" s="195">
        <v>373</v>
      </c>
      <c r="G449" s="256">
        <f>D449*F449</f>
        <v>746</v>
      </c>
      <c r="H449" s="314" t="s">
        <v>374</v>
      </c>
    </row>
    <row r="450" spans="1:8" ht="19.5">
      <c r="A450" s="189"/>
      <c r="B450" s="192"/>
      <c r="C450" s="188" t="s">
        <v>389</v>
      </c>
      <c r="D450" s="254">
        <v>0.48</v>
      </c>
      <c r="E450" s="191" t="s">
        <v>348</v>
      </c>
      <c r="F450" s="252">
        <v>396</v>
      </c>
      <c r="G450" s="256">
        <f>D450*F450</f>
        <v>190.07999999999998</v>
      </c>
      <c r="H450" s="314" t="s">
        <v>329</v>
      </c>
    </row>
    <row r="451" spans="1:8" ht="19.5">
      <c r="A451" s="189"/>
      <c r="B451" s="192"/>
      <c r="C451" s="188" t="s">
        <v>350</v>
      </c>
      <c r="D451" s="198">
        <v>0.28</v>
      </c>
      <c r="E451" s="191" t="s">
        <v>201</v>
      </c>
      <c r="F451" s="313">
        <v>24.46</v>
      </c>
      <c r="G451" s="256">
        <f>D451*F451</f>
        <v>6.848800000000001</v>
      </c>
      <c r="H451" s="189"/>
    </row>
    <row r="452" spans="1:8" ht="20.25">
      <c r="A452" s="200"/>
      <c r="B452" s="201"/>
      <c r="C452" s="202" t="s">
        <v>394</v>
      </c>
      <c r="D452" s="203">
        <v>1</v>
      </c>
      <c r="E452" s="204" t="s">
        <v>190</v>
      </c>
      <c r="F452" s="205" t="s">
        <v>208</v>
      </c>
      <c r="G452" s="206">
        <f>SUM(G447:G451)</f>
        <v>942.9287999999999</v>
      </c>
      <c r="H452" s="207" t="s">
        <v>209</v>
      </c>
    </row>
    <row r="453" spans="1:8" ht="20.25">
      <c r="A453" s="296">
        <v>9.19</v>
      </c>
      <c r="B453" s="284" t="s">
        <v>387</v>
      </c>
      <c r="C453" s="193"/>
      <c r="D453" s="189"/>
      <c r="E453" s="189"/>
      <c r="F453" s="252" t="s">
        <v>198</v>
      </c>
      <c r="G453" s="273" t="s">
        <v>198</v>
      </c>
      <c r="H453" s="234" t="s">
        <v>198</v>
      </c>
    </row>
    <row r="454" spans="1:8" ht="20.25">
      <c r="A454" s="189"/>
      <c r="B454" s="187" t="s">
        <v>391</v>
      </c>
      <c r="C454" s="188"/>
      <c r="D454" s="198" t="s">
        <v>198</v>
      </c>
      <c r="E454" s="191" t="s">
        <v>198</v>
      </c>
      <c r="F454" s="195" t="s">
        <v>198</v>
      </c>
      <c r="G454" s="256" t="s">
        <v>198</v>
      </c>
      <c r="H454" s="228" t="s">
        <v>198</v>
      </c>
    </row>
    <row r="455" spans="1:8" ht="19.5">
      <c r="A455" s="189"/>
      <c r="B455" s="192"/>
      <c r="C455" s="188" t="s">
        <v>385</v>
      </c>
      <c r="D455" s="254">
        <v>2</v>
      </c>
      <c r="E455" s="191" t="s">
        <v>190</v>
      </c>
      <c r="F455" s="195">
        <v>373</v>
      </c>
      <c r="G455" s="256">
        <f>D455*F455</f>
        <v>746</v>
      </c>
      <c r="H455" s="314" t="s">
        <v>374</v>
      </c>
    </row>
    <row r="456" spans="1:8" ht="19.5">
      <c r="A456" s="189"/>
      <c r="B456" s="192"/>
      <c r="C456" s="188" t="s">
        <v>392</v>
      </c>
      <c r="D456" s="254">
        <v>0.48</v>
      </c>
      <c r="E456" s="191" t="s">
        <v>348</v>
      </c>
      <c r="F456" s="252">
        <v>838</v>
      </c>
      <c r="G456" s="256">
        <f>D456*F456</f>
        <v>402.24</v>
      </c>
      <c r="H456" s="314" t="s">
        <v>329</v>
      </c>
    </row>
    <row r="457" spans="1:8" ht="19.5">
      <c r="A457" s="189"/>
      <c r="B457" s="192"/>
      <c r="C457" s="188" t="s">
        <v>350</v>
      </c>
      <c r="D457" s="198">
        <v>0.28</v>
      </c>
      <c r="E457" s="191" t="s">
        <v>201</v>
      </c>
      <c r="F457" s="313">
        <v>24.46</v>
      </c>
      <c r="G457" s="256">
        <f>D457*F457</f>
        <v>6.848800000000001</v>
      </c>
      <c r="H457" s="189"/>
    </row>
    <row r="458" spans="1:8" ht="20.25">
      <c r="A458" s="200"/>
      <c r="B458" s="201"/>
      <c r="C458" s="202" t="s">
        <v>394</v>
      </c>
      <c r="D458" s="203">
        <v>1</v>
      </c>
      <c r="E458" s="204" t="s">
        <v>190</v>
      </c>
      <c r="F458" s="205" t="s">
        <v>208</v>
      </c>
      <c r="G458" s="206">
        <f>SUM(G453:G457)</f>
        <v>1155.0888</v>
      </c>
      <c r="H458" s="207" t="s">
        <v>209</v>
      </c>
    </row>
    <row r="459" spans="1:8" ht="20.25">
      <c r="A459" s="296">
        <v>9.2</v>
      </c>
      <c r="B459" s="284" t="s">
        <v>395</v>
      </c>
      <c r="C459" s="193"/>
      <c r="D459" s="189"/>
      <c r="E459" s="189"/>
      <c r="F459" s="252" t="s">
        <v>198</v>
      </c>
      <c r="G459" s="273" t="s">
        <v>198</v>
      </c>
      <c r="H459" s="234" t="s">
        <v>198</v>
      </c>
    </row>
    <row r="460" spans="1:8" ht="20.25">
      <c r="A460" s="189"/>
      <c r="B460" s="187" t="s">
        <v>372</v>
      </c>
      <c r="C460" s="188"/>
      <c r="D460" s="198" t="s">
        <v>198</v>
      </c>
      <c r="E460" s="191" t="s">
        <v>198</v>
      </c>
      <c r="F460" s="195" t="s">
        <v>198</v>
      </c>
      <c r="G460" s="256" t="s">
        <v>198</v>
      </c>
      <c r="H460" s="228" t="s">
        <v>198</v>
      </c>
    </row>
    <row r="461" spans="1:8" ht="19.5">
      <c r="A461" s="189"/>
      <c r="B461" s="192"/>
      <c r="C461" s="188" t="s">
        <v>396</v>
      </c>
      <c r="D461" s="254">
        <v>1</v>
      </c>
      <c r="E461" s="191" t="s">
        <v>190</v>
      </c>
      <c r="F461" s="195">
        <v>280</v>
      </c>
      <c r="G461" s="256">
        <f>D461*F461</f>
        <v>280</v>
      </c>
      <c r="H461" s="314" t="s">
        <v>374</v>
      </c>
    </row>
    <row r="462" spans="1:8" ht="19.5">
      <c r="A462" s="189"/>
      <c r="B462" s="192"/>
      <c r="C462" s="188" t="s">
        <v>375</v>
      </c>
      <c r="D462" s="254">
        <v>0.48</v>
      </c>
      <c r="E462" s="191" t="s">
        <v>348</v>
      </c>
      <c r="F462" s="252">
        <v>400</v>
      </c>
      <c r="G462" s="256">
        <f>D462*F462</f>
        <v>192</v>
      </c>
      <c r="H462" s="314" t="s">
        <v>329</v>
      </c>
    </row>
    <row r="463" spans="1:8" ht="19.5">
      <c r="A463" s="189"/>
      <c r="B463" s="192"/>
      <c r="C463" s="188" t="s">
        <v>350</v>
      </c>
      <c r="D463" s="198">
        <v>0.2</v>
      </c>
      <c r="E463" s="191" t="s">
        <v>201</v>
      </c>
      <c r="F463" s="313">
        <v>24.46</v>
      </c>
      <c r="G463" s="256">
        <f>D463*F463</f>
        <v>4.892</v>
      </c>
      <c r="H463" s="189"/>
    </row>
    <row r="464" spans="1:8" ht="20.25">
      <c r="A464" s="200"/>
      <c r="B464" s="201"/>
      <c r="C464" s="202" t="s">
        <v>397</v>
      </c>
      <c r="D464" s="203">
        <v>1</v>
      </c>
      <c r="E464" s="204" t="s">
        <v>190</v>
      </c>
      <c r="F464" s="205" t="s">
        <v>208</v>
      </c>
      <c r="G464" s="206">
        <f>SUM(G459:G463)</f>
        <v>476.892</v>
      </c>
      <c r="H464" s="207" t="s">
        <v>209</v>
      </c>
    </row>
    <row r="465" spans="1:8" ht="20.25">
      <c r="A465" s="208">
        <v>9.21</v>
      </c>
      <c r="B465" s="284" t="s">
        <v>398</v>
      </c>
      <c r="C465" s="193"/>
      <c r="D465" s="283" t="s">
        <v>198</v>
      </c>
      <c r="E465" s="211" t="s">
        <v>198</v>
      </c>
      <c r="F465" s="252" t="s">
        <v>198</v>
      </c>
      <c r="G465" s="273" t="s">
        <v>198</v>
      </c>
      <c r="H465" s="234" t="s">
        <v>198</v>
      </c>
    </row>
    <row r="466" spans="1:8" ht="20.25">
      <c r="A466" s="189"/>
      <c r="B466" s="187" t="s">
        <v>378</v>
      </c>
      <c r="C466" s="188"/>
      <c r="D466" s="198" t="s">
        <v>198</v>
      </c>
      <c r="E466" s="191" t="s">
        <v>198</v>
      </c>
      <c r="F466" s="195" t="s">
        <v>198</v>
      </c>
      <c r="G466" s="256" t="s">
        <v>198</v>
      </c>
      <c r="H466" s="228" t="s">
        <v>198</v>
      </c>
    </row>
    <row r="467" spans="1:8" ht="19.5">
      <c r="A467" s="189"/>
      <c r="B467" s="192"/>
      <c r="C467" s="188" t="s">
        <v>396</v>
      </c>
      <c r="D467" s="254">
        <v>1</v>
      </c>
      <c r="E467" s="191" t="s">
        <v>190</v>
      </c>
      <c r="F467" s="195">
        <v>280</v>
      </c>
      <c r="G467" s="256">
        <f>D467*F467</f>
        <v>280</v>
      </c>
      <c r="H467" s="314" t="s">
        <v>374</v>
      </c>
    </row>
    <row r="468" spans="1:8" ht="19.5">
      <c r="A468" s="189"/>
      <c r="B468" s="192"/>
      <c r="C468" s="188" t="s">
        <v>379</v>
      </c>
      <c r="D468" s="254">
        <v>0.48</v>
      </c>
      <c r="E468" s="191" t="s">
        <v>348</v>
      </c>
      <c r="F468" s="252">
        <v>842</v>
      </c>
      <c r="G468" s="256">
        <f>D468*F468</f>
        <v>404.15999999999997</v>
      </c>
      <c r="H468" s="314" t="s">
        <v>329</v>
      </c>
    </row>
    <row r="469" spans="1:8" ht="19.5">
      <c r="A469" s="189"/>
      <c r="B469" s="192"/>
      <c r="C469" s="188" t="s">
        <v>350</v>
      </c>
      <c r="D469" s="198">
        <v>0.2</v>
      </c>
      <c r="E469" s="191" t="s">
        <v>201</v>
      </c>
      <c r="F469" s="313">
        <v>24.46</v>
      </c>
      <c r="G469" s="256">
        <f>D469*F469</f>
        <v>4.892</v>
      </c>
      <c r="H469" s="189"/>
    </row>
    <row r="470" spans="1:8" ht="20.25">
      <c r="A470" s="200"/>
      <c r="B470" s="201"/>
      <c r="C470" s="202" t="s">
        <v>397</v>
      </c>
      <c r="D470" s="203">
        <v>1</v>
      </c>
      <c r="E470" s="204" t="s">
        <v>190</v>
      </c>
      <c r="F470" s="205" t="s">
        <v>208</v>
      </c>
      <c r="G470" s="206">
        <f>SUM(G465:G469)</f>
        <v>689.052</v>
      </c>
      <c r="H470" s="207" t="s">
        <v>209</v>
      </c>
    </row>
    <row r="471" spans="1:8" ht="20.25">
      <c r="A471" s="208">
        <v>9.22</v>
      </c>
      <c r="B471" s="284" t="s">
        <v>399</v>
      </c>
      <c r="C471" s="193"/>
      <c r="D471" s="283" t="s">
        <v>198</v>
      </c>
      <c r="E471" s="211" t="s">
        <v>198</v>
      </c>
      <c r="F471" s="252" t="s">
        <v>198</v>
      </c>
      <c r="G471" s="273" t="s">
        <v>198</v>
      </c>
      <c r="H471" s="234" t="s">
        <v>198</v>
      </c>
    </row>
    <row r="472" spans="1:8" ht="20.25">
      <c r="A472" s="189"/>
      <c r="B472" s="187" t="s">
        <v>372</v>
      </c>
      <c r="C472" s="188"/>
      <c r="D472" s="198" t="s">
        <v>198</v>
      </c>
      <c r="E472" s="191" t="s">
        <v>198</v>
      </c>
      <c r="F472" s="195" t="s">
        <v>198</v>
      </c>
      <c r="G472" s="256" t="s">
        <v>198</v>
      </c>
      <c r="H472" s="228" t="s">
        <v>198</v>
      </c>
    </row>
    <row r="473" spans="1:8" ht="19.5">
      <c r="A473" s="189"/>
      <c r="B473" s="192"/>
      <c r="C473" s="188" t="s">
        <v>400</v>
      </c>
      <c r="D473" s="254">
        <v>1</v>
      </c>
      <c r="E473" s="191" t="s">
        <v>190</v>
      </c>
      <c r="F473" s="195">
        <v>441</v>
      </c>
      <c r="G473" s="256">
        <f>D473*F473</f>
        <v>441</v>
      </c>
      <c r="H473" s="314" t="s">
        <v>374</v>
      </c>
    </row>
    <row r="474" spans="1:8" ht="19.5">
      <c r="A474" s="189"/>
      <c r="B474" s="192"/>
      <c r="C474" s="188" t="s">
        <v>375</v>
      </c>
      <c r="D474" s="254">
        <v>0.48</v>
      </c>
      <c r="E474" s="191" t="s">
        <v>348</v>
      </c>
      <c r="F474" s="252">
        <v>400</v>
      </c>
      <c r="G474" s="256">
        <f>D474*F474</f>
        <v>192</v>
      </c>
      <c r="H474" s="314" t="s">
        <v>329</v>
      </c>
    </row>
    <row r="475" spans="1:8" ht="19.5">
      <c r="A475" s="189"/>
      <c r="B475" s="192"/>
      <c r="C475" s="188" t="s">
        <v>350</v>
      </c>
      <c r="D475" s="198">
        <v>0.2</v>
      </c>
      <c r="E475" s="191" t="s">
        <v>201</v>
      </c>
      <c r="F475" s="313">
        <v>24.46</v>
      </c>
      <c r="G475" s="256">
        <f>D475*F475</f>
        <v>4.892</v>
      </c>
      <c r="H475" s="189"/>
    </row>
    <row r="476" spans="1:8" ht="20.25">
      <c r="A476" s="200"/>
      <c r="B476" s="201"/>
      <c r="C476" s="202" t="s">
        <v>401</v>
      </c>
      <c r="D476" s="203">
        <v>1</v>
      </c>
      <c r="E476" s="204" t="s">
        <v>190</v>
      </c>
      <c r="F476" s="205" t="s">
        <v>208</v>
      </c>
      <c r="G476" s="206">
        <f>SUM(G471:G475)</f>
        <v>637.892</v>
      </c>
      <c r="H476" s="207" t="s">
        <v>209</v>
      </c>
    </row>
    <row r="477" spans="1:8" ht="20.25">
      <c r="A477" s="296">
        <v>9.23</v>
      </c>
      <c r="B477" s="284" t="s">
        <v>402</v>
      </c>
      <c r="C477" s="193"/>
      <c r="D477" s="283" t="s">
        <v>198</v>
      </c>
      <c r="E477" s="211" t="s">
        <v>198</v>
      </c>
      <c r="F477" s="252" t="s">
        <v>198</v>
      </c>
      <c r="G477" s="273" t="s">
        <v>198</v>
      </c>
      <c r="H477" s="234" t="s">
        <v>198</v>
      </c>
    </row>
    <row r="478" spans="1:8" ht="20.25">
      <c r="A478" s="189"/>
      <c r="B478" s="187" t="s">
        <v>378</v>
      </c>
      <c r="C478" s="188"/>
      <c r="D478" s="198" t="s">
        <v>198</v>
      </c>
      <c r="E478" s="191" t="s">
        <v>198</v>
      </c>
      <c r="F478" s="195" t="s">
        <v>198</v>
      </c>
      <c r="G478" s="256" t="s">
        <v>198</v>
      </c>
      <c r="H478" s="228" t="s">
        <v>198</v>
      </c>
    </row>
    <row r="479" spans="1:8" ht="19.5">
      <c r="A479" s="189"/>
      <c r="B479" s="192"/>
      <c r="C479" s="188" t="s">
        <v>400</v>
      </c>
      <c r="D479" s="254">
        <v>1</v>
      </c>
      <c r="E479" s="191" t="s">
        <v>190</v>
      </c>
      <c r="F479" s="195">
        <v>441</v>
      </c>
      <c r="G479" s="256">
        <f>D479*F479</f>
        <v>441</v>
      </c>
      <c r="H479" s="314" t="s">
        <v>374</v>
      </c>
    </row>
    <row r="480" spans="1:8" ht="19.5">
      <c r="A480" s="189"/>
      <c r="B480" s="192"/>
      <c r="C480" s="188" t="s">
        <v>379</v>
      </c>
      <c r="D480" s="254">
        <v>0.48</v>
      </c>
      <c r="E480" s="191" t="s">
        <v>348</v>
      </c>
      <c r="F480" s="252">
        <v>842</v>
      </c>
      <c r="G480" s="256">
        <f>D480*F480</f>
        <v>404.15999999999997</v>
      </c>
      <c r="H480" s="314" t="s">
        <v>329</v>
      </c>
    </row>
    <row r="481" spans="1:8" ht="19.5">
      <c r="A481" s="189"/>
      <c r="B481" s="192"/>
      <c r="C481" s="188" t="s">
        <v>350</v>
      </c>
      <c r="D481" s="198">
        <v>0.2</v>
      </c>
      <c r="E481" s="191" t="s">
        <v>201</v>
      </c>
      <c r="F481" s="313">
        <v>24.46</v>
      </c>
      <c r="G481" s="256">
        <f>D481*F481</f>
        <v>4.892</v>
      </c>
      <c r="H481" s="189"/>
    </row>
    <row r="482" spans="1:8" ht="20.25">
      <c r="A482" s="200"/>
      <c r="B482" s="201"/>
      <c r="C482" s="202" t="s">
        <v>401</v>
      </c>
      <c r="D482" s="203">
        <v>1</v>
      </c>
      <c r="E482" s="204" t="s">
        <v>190</v>
      </c>
      <c r="F482" s="205" t="s">
        <v>208</v>
      </c>
      <c r="G482" s="206">
        <f>SUM(G477:G481)</f>
        <v>850.052</v>
      </c>
      <c r="H482" s="207" t="s">
        <v>209</v>
      </c>
    </row>
    <row r="483" spans="1:8" ht="20.25">
      <c r="A483" s="296">
        <v>9.24</v>
      </c>
      <c r="B483" s="284" t="s">
        <v>403</v>
      </c>
      <c r="C483" s="193"/>
      <c r="D483" s="209"/>
      <c r="E483" s="209"/>
      <c r="F483" s="252" t="s">
        <v>198</v>
      </c>
      <c r="G483" s="273" t="s">
        <v>198</v>
      </c>
      <c r="H483" s="234" t="s">
        <v>198</v>
      </c>
    </row>
    <row r="484" spans="1:8" ht="20.25">
      <c r="A484" s="189"/>
      <c r="B484" s="187" t="s">
        <v>372</v>
      </c>
      <c r="C484" s="188"/>
      <c r="D484" s="198" t="s">
        <v>198</v>
      </c>
      <c r="E484" s="191" t="s">
        <v>198</v>
      </c>
      <c r="F484" s="195" t="s">
        <v>198</v>
      </c>
      <c r="G484" s="256" t="s">
        <v>198</v>
      </c>
      <c r="H484" s="228" t="s">
        <v>198</v>
      </c>
    </row>
    <row r="485" spans="1:8" ht="19.5">
      <c r="A485" s="189"/>
      <c r="B485" s="192"/>
      <c r="C485" s="188" t="s">
        <v>404</v>
      </c>
      <c r="D485" s="254">
        <v>1</v>
      </c>
      <c r="E485" s="191" t="s">
        <v>190</v>
      </c>
      <c r="F485" s="195">
        <v>647</v>
      </c>
      <c r="G485" s="256">
        <f>D485*F485</f>
        <v>647</v>
      </c>
      <c r="H485" s="314" t="s">
        <v>374</v>
      </c>
    </row>
    <row r="486" spans="1:8" ht="19.5">
      <c r="A486" s="200"/>
      <c r="B486" s="201"/>
      <c r="C486" s="202" t="s">
        <v>375</v>
      </c>
      <c r="D486" s="247">
        <v>0.48</v>
      </c>
      <c r="E486" s="204" t="s">
        <v>348</v>
      </c>
      <c r="F486" s="248">
        <v>400</v>
      </c>
      <c r="G486" s="282">
        <f>D486*F486</f>
        <v>192</v>
      </c>
      <c r="H486" s="317" t="s">
        <v>329</v>
      </c>
    </row>
    <row r="487" spans="1:8" ht="19.5">
      <c r="A487" s="209"/>
      <c r="B487" s="250"/>
      <c r="C487" s="193" t="s">
        <v>350</v>
      </c>
      <c r="D487" s="283">
        <v>0.2</v>
      </c>
      <c r="E487" s="211" t="s">
        <v>201</v>
      </c>
      <c r="F487" s="313">
        <v>24.46</v>
      </c>
      <c r="G487" s="273">
        <f>D487*F487</f>
        <v>4.892</v>
      </c>
      <c r="H487" s="209"/>
    </row>
    <row r="488" spans="1:8" ht="20.25">
      <c r="A488" s="200"/>
      <c r="B488" s="201"/>
      <c r="C488" s="202" t="s">
        <v>405</v>
      </c>
      <c r="D488" s="203">
        <v>1</v>
      </c>
      <c r="E488" s="204" t="s">
        <v>190</v>
      </c>
      <c r="F488" s="205" t="s">
        <v>208</v>
      </c>
      <c r="G488" s="206">
        <f>SUM(G483:G487)</f>
        <v>843.892</v>
      </c>
      <c r="H488" s="207" t="s">
        <v>209</v>
      </c>
    </row>
    <row r="489" spans="1:8" ht="20.25">
      <c r="A489" s="296">
        <v>9.25</v>
      </c>
      <c r="B489" s="284" t="s">
        <v>406</v>
      </c>
      <c r="C489" s="193"/>
      <c r="D489" s="189"/>
      <c r="E489" s="189"/>
      <c r="F489" s="252" t="s">
        <v>198</v>
      </c>
      <c r="G489" s="273" t="s">
        <v>198</v>
      </c>
      <c r="H489" s="234" t="s">
        <v>198</v>
      </c>
    </row>
    <row r="490" spans="1:8" ht="20.25">
      <c r="A490" s="189"/>
      <c r="B490" s="187" t="s">
        <v>378</v>
      </c>
      <c r="C490" s="188"/>
      <c r="D490" s="198" t="s">
        <v>198</v>
      </c>
      <c r="E490" s="191" t="s">
        <v>198</v>
      </c>
      <c r="F490" s="195" t="s">
        <v>198</v>
      </c>
      <c r="G490" s="256" t="s">
        <v>198</v>
      </c>
      <c r="H490" s="228" t="s">
        <v>198</v>
      </c>
    </row>
    <row r="491" spans="1:8" ht="19.5">
      <c r="A491" s="189"/>
      <c r="B491" s="192"/>
      <c r="C491" s="188" t="s">
        <v>404</v>
      </c>
      <c r="D491" s="254">
        <v>1</v>
      </c>
      <c r="E491" s="191" t="s">
        <v>190</v>
      </c>
      <c r="F491" s="195">
        <v>647</v>
      </c>
      <c r="G491" s="256">
        <f>D491*F491</f>
        <v>647</v>
      </c>
      <c r="H491" s="314" t="s">
        <v>374</v>
      </c>
    </row>
    <row r="492" spans="1:8" ht="19.5">
      <c r="A492" s="189"/>
      <c r="B492" s="192"/>
      <c r="C492" s="188" t="s">
        <v>379</v>
      </c>
      <c r="D492" s="254">
        <v>0.48</v>
      </c>
      <c r="E492" s="191" t="s">
        <v>348</v>
      </c>
      <c r="F492" s="252">
        <v>842</v>
      </c>
      <c r="G492" s="256">
        <f>D492*F492</f>
        <v>404.15999999999997</v>
      </c>
      <c r="H492" s="314" t="s">
        <v>329</v>
      </c>
    </row>
    <row r="493" spans="1:8" ht="19.5">
      <c r="A493" s="189"/>
      <c r="B493" s="192"/>
      <c r="C493" s="188" t="s">
        <v>350</v>
      </c>
      <c r="D493" s="198">
        <v>0.2</v>
      </c>
      <c r="E493" s="191" t="s">
        <v>201</v>
      </c>
      <c r="F493" s="313">
        <v>24.46</v>
      </c>
      <c r="G493" s="256">
        <f>D493*F493</f>
        <v>4.892</v>
      </c>
      <c r="H493" s="189"/>
    </row>
    <row r="494" spans="1:8" ht="20.25">
      <c r="A494" s="200"/>
      <c r="B494" s="201"/>
      <c r="C494" s="202" t="s">
        <v>405</v>
      </c>
      <c r="D494" s="203">
        <v>1</v>
      </c>
      <c r="E494" s="204" t="s">
        <v>190</v>
      </c>
      <c r="F494" s="205" t="s">
        <v>208</v>
      </c>
      <c r="G494" s="206">
        <f>SUM(G489:G493)</f>
        <v>1056.052</v>
      </c>
      <c r="H494" s="207" t="s">
        <v>209</v>
      </c>
    </row>
    <row r="495" spans="1:8" ht="20.25">
      <c r="A495" s="208">
        <v>9.26</v>
      </c>
      <c r="B495" s="284" t="s">
        <v>407</v>
      </c>
      <c r="C495" s="193"/>
      <c r="D495" s="283" t="s">
        <v>198</v>
      </c>
      <c r="E495" s="211" t="s">
        <v>198</v>
      </c>
      <c r="F495" s="252" t="s">
        <v>198</v>
      </c>
      <c r="G495" s="273" t="s">
        <v>198</v>
      </c>
      <c r="H495" s="234" t="s">
        <v>198</v>
      </c>
    </row>
    <row r="496" spans="1:8" ht="20.25">
      <c r="A496" s="189"/>
      <c r="B496" s="187" t="s">
        <v>388</v>
      </c>
      <c r="C496" s="188"/>
      <c r="D496" s="198" t="s">
        <v>198</v>
      </c>
      <c r="E496" s="191" t="s">
        <v>198</v>
      </c>
      <c r="F496" s="195" t="s">
        <v>198</v>
      </c>
      <c r="G496" s="256" t="s">
        <v>198</v>
      </c>
      <c r="H496" s="228" t="s">
        <v>198</v>
      </c>
    </row>
    <row r="497" spans="1:8" ht="19.5">
      <c r="A497" s="189"/>
      <c r="B497" s="192"/>
      <c r="C497" s="188" t="s">
        <v>396</v>
      </c>
      <c r="D497" s="254">
        <v>2</v>
      </c>
      <c r="E497" s="191" t="s">
        <v>190</v>
      </c>
      <c r="F497" s="195">
        <v>280</v>
      </c>
      <c r="G497" s="256">
        <f>D497*F497</f>
        <v>560</v>
      </c>
      <c r="H497" s="314" t="s">
        <v>374</v>
      </c>
    </row>
    <row r="498" spans="1:8" ht="19.5">
      <c r="A498" s="189"/>
      <c r="B498" s="192"/>
      <c r="C498" s="188" t="s">
        <v>389</v>
      </c>
      <c r="D498" s="254">
        <v>0.48</v>
      </c>
      <c r="E498" s="191" t="s">
        <v>348</v>
      </c>
      <c r="F498" s="252">
        <v>396</v>
      </c>
      <c r="G498" s="256">
        <f>D498*F498</f>
        <v>190.07999999999998</v>
      </c>
      <c r="H498" s="314" t="s">
        <v>329</v>
      </c>
    </row>
    <row r="499" spans="1:8" ht="19.5">
      <c r="A499" s="189"/>
      <c r="B499" s="192"/>
      <c r="C499" s="188" t="s">
        <v>350</v>
      </c>
      <c r="D499" s="198">
        <v>0.28</v>
      </c>
      <c r="E499" s="191" t="s">
        <v>201</v>
      </c>
      <c r="F499" s="313">
        <v>24.46</v>
      </c>
      <c r="G499" s="256">
        <f>D499*F499</f>
        <v>6.848800000000001</v>
      </c>
      <c r="H499" s="189"/>
    </row>
    <row r="500" spans="1:8" ht="20.25">
      <c r="A500" s="200"/>
      <c r="B500" s="201"/>
      <c r="C500" s="202" t="s">
        <v>408</v>
      </c>
      <c r="D500" s="203">
        <v>1</v>
      </c>
      <c r="E500" s="204" t="s">
        <v>190</v>
      </c>
      <c r="F500" s="205" t="s">
        <v>208</v>
      </c>
      <c r="G500" s="206">
        <f>SUM(G495:G499)</f>
        <v>756.9287999999999</v>
      </c>
      <c r="H500" s="207" t="s">
        <v>209</v>
      </c>
    </row>
    <row r="501" spans="1:8" ht="20.25">
      <c r="A501" s="208">
        <v>9.27</v>
      </c>
      <c r="B501" s="284" t="s">
        <v>398</v>
      </c>
      <c r="C501" s="193"/>
      <c r="D501" s="283" t="s">
        <v>198</v>
      </c>
      <c r="E501" s="211" t="s">
        <v>198</v>
      </c>
      <c r="F501" s="252" t="s">
        <v>198</v>
      </c>
      <c r="G501" s="273" t="s">
        <v>198</v>
      </c>
      <c r="H501" s="234" t="s">
        <v>198</v>
      </c>
    </row>
    <row r="502" spans="1:8" ht="20.25">
      <c r="A502" s="189"/>
      <c r="B502" s="187" t="s">
        <v>391</v>
      </c>
      <c r="C502" s="188"/>
      <c r="D502" s="198" t="s">
        <v>198</v>
      </c>
      <c r="E502" s="191" t="s">
        <v>198</v>
      </c>
      <c r="F502" s="195" t="s">
        <v>198</v>
      </c>
      <c r="G502" s="256" t="s">
        <v>198</v>
      </c>
      <c r="H502" s="228" t="s">
        <v>198</v>
      </c>
    </row>
    <row r="503" spans="1:8" ht="19.5">
      <c r="A503" s="189"/>
      <c r="B503" s="192"/>
      <c r="C503" s="188" t="s">
        <v>396</v>
      </c>
      <c r="D503" s="254">
        <v>2</v>
      </c>
      <c r="E503" s="191" t="s">
        <v>190</v>
      </c>
      <c r="F503" s="195">
        <v>280</v>
      </c>
      <c r="G503" s="256">
        <f>D503*F503</f>
        <v>560</v>
      </c>
      <c r="H503" s="314" t="s">
        <v>374</v>
      </c>
    </row>
    <row r="504" spans="1:8" ht="19.5">
      <c r="A504" s="189"/>
      <c r="B504" s="192"/>
      <c r="C504" s="188" t="s">
        <v>392</v>
      </c>
      <c r="D504" s="254">
        <v>0.48</v>
      </c>
      <c r="E504" s="191" t="s">
        <v>348</v>
      </c>
      <c r="F504" s="252">
        <v>838</v>
      </c>
      <c r="G504" s="256">
        <f>D504*F504</f>
        <v>402.24</v>
      </c>
      <c r="H504" s="314" t="s">
        <v>329</v>
      </c>
    </row>
    <row r="505" spans="1:8" ht="19.5">
      <c r="A505" s="189"/>
      <c r="B505" s="192"/>
      <c r="C505" s="188" t="s">
        <v>350</v>
      </c>
      <c r="D505" s="198">
        <v>0.28</v>
      </c>
      <c r="E505" s="191" t="s">
        <v>201</v>
      </c>
      <c r="F505" s="313">
        <v>24.46</v>
      </c>
      <c r="G505" s="256">
        <f>D505*F505</f>
        <v>6.848800000000001</v>
      </c>
      <c r="H505" s="189"/>
    </row>
    <row r="506" spans="1:8" ht="20.25">
      <c r="A506" s="200"/>
      <c r="B506" s="201"/>
      <c r="C506" s="202" t="s">
        <v>408</v>
      </c>
      <c r="D506" s="203">
        <v>1</v>
      </c>
      <c r="E506" s="204" t="s">
        <v>190</v>
      </c>
      <c r="F506" s="205" t="s">
        <v>208</v>
      </c>
      <c r="G506" s="206">
        <f>SUM(G501:G505)</f>
        <v>969.0888</v>
      </c>
      <c r="H506" s="207" t="s">
        <v>209</v>
      </c>
    </row>
    <row r="507" spans="1:8" ht="20.25">
      <c r="A507" s="208">
        <v>9.28</v>
      </c>
      <c r="B507" s="284" t="s">
        <v>399</v>
      </c>
      <c r="C507" s="193"/>
      <c r="D507" s="283" t="s">
        <v>198</v>
      </c>
      <c r="E507" s="211" t="s">
        <v>198</v>
      </c>
      <c r="F507" s="252" t="s">
        <v>198</v>
      </c>
      <c r="G507" s="273" t="s">
        <v>198</v>
      </c>
      <c r="H507" s="234" t="s">
        <v>198</v>
      </c>
    </row>
    <row r="508" spans="1:8" ht="20.25">
      <c r="A508" s="189"/>
      <c r="B508" s="187" t="s">
        <v>388</v>
      </c>
      <c r="C508" s="188"/>
      <c r="D508" s="198" t="s">
        <v>198</v>
      </c>
      <c r="E508" s="191" t="s">
        <v>198</v>
      </c>
      <c r="F508" s="195" t="s">
        <v>198</v>
      </c>
      <c r="G508" s="256" t="s">
        <v>198</v>
      </c>
      <c r="H508" s="228" t="s">
        <v>198</v>
      </c>
    </row>
    <row r="509" spans="1:8" ht="19.5">
      <c r="A509" s="189"/>
      <c r="B509" s="192"/>
      <c r="C509" s="188" t="s">
        <v>400</v>
      </c>
      <c r="D509" s="254">
        <v>2</v>
      </c>
      <c r="E509" s="191" t="s">
        <v>190</v>
      </c>
      <c r="F509" s="195">
        <v>441</v>
      </c>
      <c r="G509" s="256">
        <f>D509*F509</f>
        <v>882</v>
      </c>
      <c r="H509" s="314" t="s">
        <v>374</v>
      </c>
    </row>
    <row r="510" spans="1:8" ht="19.5">
      <c r="A510" s="189"/>
      <c r="B510" s="192"/>
      <c r="C510" s="188" t="s">
        <v>389</v>
      </c>
      <c r="D510" s="254">
        <v>0.48</v>
      </c>
      <c r="E510" s="191" t="s">
        <v>348</v>
      </c>
      <c r="F510" s="252">
        <v>396</v>
      </c>
      <c r="G510" s="256">
        <f>D510*F510</f>
        <v>190.07999999999998</v>
      </c>
      <c r="H510" s="314" t="s">
        <v>329</v>
      </c>
    </row>
    <row r="511" spans="1:8" ht="19.5">
      <c r="A511" s="189"/>
      <c r="B511" s="192"/>
      <c r="C511" s="188" t="s">
        <v>350</v>
      </c>
      <c r="D511" s="198">
        <v>0.28</v>
      </c>
      <c r="E511" s="191" t="s">
        <v>201</v>
      </c>
      <c r="F511" s="313">
        <v>24.46</v>
      </c>
      <c r="G511" s="256">
        <f>D511*F511</f>
        <v>6.848800000000001</v>
      </c>
      <c r="H511" s="189"/>
    </row>
    <row r="512" spans="1:8" ht="20.25">
      <c r="A512" s="200"/>
      <c r="B512" s="201"/>
      <c r="C512" s="202" t="s">
        <v>409</v>
      </c>
      <c r="D512" s="203">
        <v>1</v>
      </c>
      <c r="E512" s="204" t="s">
        <v>190</v>
      </c>
      <c r="F512" s="205" t="s">
        <v>208</v>
      </c>
      <c r="G512" s="206">
        <f>SUM(G507:G511)</f>
        <v>1078.9288</v>
      </c>
      <c r="H512" s="207" t="s">
        <v>209</v>
      </c>
    </row>
    <row r="513" spans="1:8" ht="20.25">
      <c r="A513" s="208">
        <v>9.29</v>
      </c>
      <c r="B513" s="284" t="s">
        <v>402</v>
      </c>
      <c r="C513" s="193"/>
      <c r="D513" s="283" t="s">
        <v>198</v>
      </c>
      <c r="E513" s="211" t="s">
        <v>198</v>
      </c>
      <c r="F513" s="252" t="s">
        <v>198</v>
      </c>
      <c r="G513" s="273" t="s">
        <v>198</v>
      </c>
      <c r="H513" s="234" t="s">
        <v>198</v>
      </c>
    </row>
    <row r="514" spans="1:8" ht="20.25">
      <c r="A514" s="189"/>
      <c r="B514" s="187" t="s">
        <v>391</v>
      </c>
      <c r="C514" s="188"/>
      <c r="D514" s="198" t="s">
        <v>198</v>
      </c>
      <c r="E514" s="191" t="s">
        <v>198</v>
      </c>
      <c r="F514" s="195" t="s">
        <v>198</v>
      </c>
      <c r="G514" s="256" t="s">
        <v>198</v>
      </c>
      <c r="H514" s="228" t="s">
        <v>198</v>
      </c>
    </row>
    <row r="515" spans="1:8" ht="19.5">
      <c r="A515" s="189"/>
      <c r="B515" s="192"/>
      <c r="C515" s="188" t="s">
        <v>400</v>
      </c>
      <c r="D515" s="254">
        <v>2</v>
      </c>
      <c r="E515" s="191" t="s">
        <v>190</v>
      </c>
      <c r="F515" s="195">
        <v>441</v>
      </c>
      <c r="G515" s="256">
        <f>D515*F515</f>
        <v>882</v>
      </c>
      <c r="H515" s="314" t="s">
        <v>374</v>
      </c>
    </row>
    <row r="516" spans="1:8" ht="19.5">
      <c r="A516" s="189"/>
      <c r="B516" s="192"/>
      <c r="C516" s="188" t="s">
        <v>392</v>
      </c>
      <c r="D516" s="254">
        <v>0.48</v>
      </c>
      <c r="E516" s="191" t="s">
        <v>348</v>
      </c>
      <c r="F516" s="252">
        <v>838</v>
      </c>
      <c r="G516" s="256">
        <f>D516*F516</f>
        <v>402.24</v>
      </c>
      <c r="H516" s="314" t="s">
        <v>329</v>
      </c>
    </row>
    <row r="517" spans="1:8" ht="19.5">
      <c r="A517" s="189"/>
      <c r="B517" s="192"/>
      <c r="C517" s="188" t="s">
        <v>350</v>
      </c>
      <c r="D517" s="198">
        <v>0.28</v>
      </c>
      <c r="E517" s="191" t="s">
        <v>201</v>
      </c>
      <c r="F517" s="313">
        <v>24.46</v>
      </c>
      <c r="G517" s="256">
        <f>D517*F517</f>
        <v>6.848800000000001</v>
      </c>
      <c r="H517" s="189"/>
    </row>
    <row r="518" spans="1:8" ht="20.25">
      <c r="A518" s="200"/>
      <c r="B518" s="201"/>
      <c r="C518" s="202" t="s">
        <v>409</v>
      </c>
      <c r="D518" s="203">
        <v>1</v>
      </c>
      <c r="E518" s="204" t="s">
        <v>190</v>
      </c>
      <c r="F518" s="205" t="s">
        <v>208</v>
      </c>
      <c r="G518" s="206">
        <f>SUM(G513:G517)</f>
        <v>1291.0888</v>
      </c>
      <c r="H518" s="207" t="s">
        <v>209</v>
      </c>
    </row>
    <row r="519" spans="1:8" ht="20.25">
      <c r="A519" s="296">
        <v>9.3</v>
      </c>
      <c r="B519" s="284" t="s">
        <v>410</v>
      </c>
      <c r="C519" s="193"/>
      <c r="D519" s="209"/>
      <c r="E519" s="209"/>
      <c r="F519" s="252" t="s">
        <v>198</v>
      </c>
      <c r="G519" s="273" t="s">
        <v>198</v>
      </c>
      <c r="H519" s="234" t="s">
        <v>198</v>
      </c>
    </row>
    <row r="520" spans="1:8" ht="20.25">
      <c r="A520" s="189"/>
      <c r="B520" s="187" t="s">
        <v>388</v>
      </c>
      <c r="C520" s="188"/>
      <c r="D520" s="198" t="s">
        <v>198</v>
      </c>
      <c r="E520" s="191" t="s">
        <v>198</v>
      </c>
      <c r="F520" s="195" t="s">
        <v>198</v>
      </c>
      <c r="G520" s="256" t="s">
        <v>198</v>
      </c>
      <c r="H520" s="228" t="s">
        <v>198</v>
      </c>
    </row>
    <row r="521" spans="1:8" ht="19.5">
      <c r="A521" s="189"/>
      <c r="B521" s="192"/>
      <c r="C521" s="188" t="s">
        <v>404</v>
      </c>
      <c r="D521" s="254">
        <v>2</v>
      </c>
      <c r="E521" s="191" t="s">
        <v>190</v>
      </c>
      <c r="F521" s="195">
        <v>647</v>
      </c>
      <c r="G521" s="256">
        <f>D521*F521</f>
        <v>1294</v>
      </c>
      <c r="H521" s="314" t="s">
        <v>374</v>
      </c>
    </row>
    <row r="522" spans="1:8" ht="19.5">
      <c r="A522" s="189"/>
      <c r="B522" s="192"/>
      <c r="C522" s="188" t="s">
        <v>389</v>
      </c>
      <c r="D522" s="254">
        <v>0.48</v>
      </c>
      <c r="E522" s="191" t="s">
        <v>348</v>
      </c>
      <c r="F522" s="252">
        <v>396</v>
      </c>
      <c r="G522" s="256">
        <f>D522*F522</f>
        <v>190.07999999999998</v>
      </c>
      <c r="H522" s="314" t="s">
        <v>329</v>
      </c>
    </row>
    <row r="523" spans="1:8" ht="19.5">
      <c r="A523" s="189"/>
      <c r="B523" s="192"/>
      <c r="C523" s="188" t="s">
        <v>350</v>
      </c>
      <c r="D523" s="198">
        <v>0.28</v>
      </c>
      <c r="E523" s="191" t="s">
        <v>201</v>
      </c>
      <c r="F523" s="313">
        <v>24.46</v>
      </c>
      <c r="G523" s="256">
        <f>D523*F523</f>
        <v>6.848800000000001</v>
      </c>
      <c r="H523" s="189"/>
    </row>
    <row r="524" spans="1:8" ht="20.25">
      <c r="A524" s="265"/>
      <c r="B524" s="259"/>
      <c r="C524" s="260" t="s">
        <v>411</v>
      </c>
      <c r="D524" s="261">
        <v>1</v>
      </c>
      <c r="E524" s="262" t="s">
        <v>190</v>
      </c>
      <c r="F524" s="263" t="s">
        <v>208</v>
      </c>
      <c r="G524" s="264">
        <f>SUM(G519:G523)</f>
        <v>1490.9288</v>
      </c>
      <c r="H524" s="274" t="s">
        <v>209</v>
      </c>
    </row>
    <row r="525" spans="1:8" ht="20.25">
      <c r="A525" s="189"/>
      <c r="B525" s="192"/>
      <c r="C525" s="188"/>
      <c r="D525" s="194"/>
      <c r="E525" s="191"/>
      <c r="F525" s="212"/>
      <c r="G525" s="213"/>
      <c r="H525" s="214"/>
    </row>
    <row r="526" spans="1:8" ht="20.25">
      <c r="A526" s="200"/>
      <c r="B526" s="201"/>
      <c r="C526" s="202"/>
      <c r="D526" s="203"/>
      <c r="E526" s="204"/>
      <c r="F526" s="205"/>
      <c r="G526" s="206"/>
      <c r="H526" s="207"/>
    </row>
    <row r="527" spans="1:8" ht="20.25">
      <c r="A527" s="208">
        <v>9.31</v>
      </c>
      <c r="B527" s="284" t="s">
        <v>412</v>
      </c>
      <c r="C527" s="193"/>
      <c r="D527" s="209"/>
      <c r="E527" s="209"/>
      <c r="F527" s="252" t="s">
        <v>198</v>
      </c>
      <c r="G527" s="273" t="s">
        <v>198</v>
      </c>
      <c r="H527" s="234" t="s">
        <v>198</v>
      </c>
    </row>
    <row r="528" spans="1:8" ht="20.25">
      <c r="A528" s="189"/>
      <c r="B528" s="187" t="s">
        <v>391</v>
      </c>
      <c r="C528" s="188"/>
      <c r="D528" s="198" t="s">
        <v>198</v>
      </c>
      <c r="E528" s="191" t="s">
        <v>198</v>
      </c>
      <c r="F528" s="195" t="s">
        <v>198</v>
      </c>
      <c r="G528" s="256" t="s">
        <v>198</v>
      </c>
      <c r="H528" s="228" t="s">
        <v>198</v>
      </c>
    </row>
    <row r="529" spans="1:8" ht="19.5">
      <c r="A529" s="189"/>
      <c r="B529" s="192"/>
      <c r="C529" s="188" t="s">
        <v>404</v>
      </c>
      <c r="D529" s="254">
        <v>2</v>
      </c>
      <c r="E529" s="191" t="s">
        <v>190</v>
      </c>
      <c r="F529" s="195">
        <v>647</v>
      </c>
      <c r="G529" s="256">
        <f>D529*F529</f>
        <v>1294</v>
      </c>
      <c r="H529" s="314" t="s">
        <v>374</v>
      </c>
    </row>
    <row r="530" spans="1:8" ht="19.5">
      <c r="A530" s="189"/>
      <c r="B530" s="192"/>
      <c r="C530" s="188" t="s">
        <v>392</v>
      </c>
      <c r="D530" s="254">
        <v>0.48</v>
      </c>
      <c r="E530" s="191" t="s">
        <v>348</v>
      </c>
      <c r="F530" s="252">
        <v>838</v>
      </c>
      <c r="G530" s="256">
        <f>D530*F530</f>
        <v>402.24</v>
      </c>
      <c r="H530" s="314" t="s">
        <v>329</v>
      </c>
    </row>
    <row r="531" spans="1:8" ht="19.5">
      <c r="A531" s="189"/>
      <c r="B531" s="192"/>
      <c r="C531" s="188" t="s">
        <v>350</v>
      </c>
      <c r="D531" s="198">
        <v>0.28</v>
      </c>
      <c r="E531" s="191" t="s">
        <v>201</v>
      </c>
      <c r="F531" s="313">
        <v>24.46</v>
      </c>
      <c r="G531" s="256">
        <f>D531*F531</f>
        <v>6.848800000000001</v>
      </c>
      <c r="H531" s="189"/>
    </row>
    <row r="532" spans="1:8" ht="20.25">
      <c r="A532" s="200"/>
      <c r="B532" s="201"/>
      <c r="C532" s="202" t="s">
        <v>411</v>
      </c>
      <c r="D532" s="203">
        <v>1</v>
      </c>
      <c r="E532" s="204" t="s">
        <v>190</v>
      </c>
      <c r="F532" s="205" t="s">
        <v>208</v>
      </c>
      <c r="G532" s="206">
        <f>SUM(G527:G531)</f>
        <v>1703.0888</v>
      </c>
      <c r="H532" s="207" t="s">
        <v>209</v>
      </c>
    </row>
    <row r="533" spans="1:8" ht="20.25">
      <c r="A533" s="208">
        <v>9.32</v>
      </c>
      <c r="B533" s="284" t="s">
        <v>413</v>
      </c>
      <c r="C533" s="193"/>
      <c r="D533" s="283" t="s">
        <v>198</v>
      </c>
      <c r="E533" s="211" t="s">
        <v>198</v>
      </c>
      <c r="F533" s="252" t="s">
        <v>198</v>
      </c>
      <c r="G533" s="273" t="s">
        <v>198</v>
      </c>
      <c r="H533" s="234" t="s">
        <v>198</v>
      </c>
    </row>
    <row r="534" spans="1:8" ht="20.25">
      <c r="A534" s="189"/>
      <c r="B534" s="187" t="s">
        <v>414</v>
      </c>
      <c r="C534" s="188"/>
      <c r="D534" s="198" t="s">
        <v>198</v>
      </c>
      <c r="E534" s="191" t="s">
        <v>198</v>
      </c>
      <c r="F534" s="195" t="s">
        <v>198</v>
      </c>
      <c r="G534" s="256" t="s">
        <v>198</v>
      </c>
      <c r="H534" s="228" t="s">
        <v>198</v>
      </c>
    </row>
    <row r="535" spans="1:8" ht="19.5">
      <c r="A535" s="189"/>
      <c r="B535" s="192"/>
      <c r="C535" s="188" t="s">
        <v>415</v>
      </c>
      <c r="D535" s="254">
        <v>1</v>
      </c>
      <c r="E535" s="191" t="s">
        <v>190</v>
      </c>
      <c r="F535" s="195">
        <v>226</v>
      </c>
      <c r="G535" s="256">
        <f>D535*F535</f>
        <v>226</v>
      </c>
      <c r="H535" s="314" t="s">
        <v>374</v>
      </c>
    </row>
    <row r="536" spans="1:8" ht="19.5">
      <c r="A536" s="189"/>
      <c r="B536" s="192"/>
      <c r="C536" s="188" t="s">
        <v>375</v>
      </c>
      <c r="D536" s="254">
        <v>0.48</v>
      </c>
      <c r="E536" s="191" t="s">
        <v>348</v>
      </c>
      <c r="F536" s="252">
        <v>400</v>
      </c>
      <c r="G536" s="256">
        <f>D536*F536</f>
        <v>192</v>
      </c>
      <c r="H536" s="314" t="s">
        <v>329</v>
      </c>
    </row>
    <row r="537" spans="1:8" ht="19.5">
      <c r="A537" s="189"/>
      <c r="B537" s="192"/>
      <c r="C537" s="188" t="s">
        <v>350</v>
      </c>
      <c r="D537" s="198">
        <v>0.2</v>
      </c>
      <c r="E537" s="191" t="s">
        <v>201</v>
      </c>
      <c r="F537" s="313">
        <v>24.46</v>
      </c>
      <c r="G537" s="256">
        <f>D537*F537</f>
        <v>4.892</v>
      </c>
      <c r="H537" s="189"/>
    </row>
    <row r="538" spans="1:8" ht="20.25">
      <c r="A538" s="200"/>
      <c r="B538" s="201"/>
      <c r="C538" s="202" t="s">
        <v>416</v>
      </c>
      <c r="D538" s="203">
        <v>1</v>
      </c>
      <c r="E538" s="204" t="s">
        <v>190</v>
      </c>
      <c r="F538" s="205" t="s">
        <v>208</v>
      </c>
      <c r="G538" s="206">
        <f>SUM(G533:G537)</f>
        <v>422.892</v>
      </c>
      <c r="H538" s="207" t="s">
        <v>209</v>
      </c>
    </row>
    <row r="539" spans="1:8" ht="20.25">
      <c r="A539" s="296">
        <v>9.33</v>
      </c>
      <c r="B539" s="284" t="s">
        <v>413</v>
      </c>
      <c r="C539" s="193"/>
      <c r="D539" s="283" t="s">
        <v>198</v>
      </c>
      <c r="E539" s="211" t="s">
        <v>198</v>
      </c>
      <c r="F539" s="252" t="s">
        <v>198</v>
      </c>
      <c r="G539" s="273" t="s">
        <v>198</v>
      </c>
      <c r="H539" s="234" t="s">
        <v>198</v>
      </c>
    </row>
    <row r="540" spans="1:8" ht="20.25">
      <c r="A540" s="189"/>
      <c r="B540" s="187" t="s">
        <v>417</v>
      </c>
      <c r="C540" s="188"/>
      <c r="D540" s="189"/>
      <c r="E540" s="189"/>
      <c r="F540" s="195" t="s">
        <v>198</v>
      </c>
      <c r="G540" s="256" t="s">
        <v>198</v>
      </c>
      <c r="H540" s="228" t="s">
        <v>198</v>
      </c>
    </row>
    <row r="541" spans="1:8" ht="19.5">
      <c r="A541" s="189"/>
      <c r="B541" s="192"/>
      <c r="C541" s="188" t="s">
        <v>415</v>
      </c>
      <c r="D541" s="254">
        <v>1</v>
      </c>
      <c r="E541" s="191" t="s">
        <v>190</v>
      </c>
      <c r="F541" s="195">
        <v>226</v>
      </c>
      <c r="G541" s="256">
        <f>D541*F541</f>
        <v>226</v>
      </c>
      <c r="H541" s="314" t="s">
        <v>374</v>
      </c>
    </row>
    <row r="542" spans="1:8" ht="19.5">
      <c r="A542" s="189"/>
      <c r="B542" s="192"/>
      <c r="C542" s="188" t="s">
        <v>379</v>
      </c>
      <c r="D542" s="254">
        <v>0.48</v>
      </c>
      <c r="E542" s="191" t="s">
        <v>348</v>
      </c>
      <c r="F542" s="252">
        <v>842</v>
      </c>
      <c r="G542" s="256">
        <f>D542*F542</f>
        <v>404.15999999999997</v>
      </c>
      <c r="H542" s="314" t="s">
        <v>329</v>
      </c>
    </row>
    <row r="543" spans="1:8" ht="19.5">
      <c r="A543" s="189"/>
      <c r="B543" s="192"/>
      <c r="C543" s="188" t="s">
        <v>350</v>
      </c>
      <c r="D543" s="198">
        <v>0.2</v>
      </c>
      <c r="E543" s="191" t="s">
        <v>201</v>
      </c>
      <c r="F543" s="313">
        <v>24.46</v>
      </c>
      <c r="G543" s="256">
        <f>D543*F543</f>
        <v>4.892</v>
      </c>
      <c r="H543" s="189"/>
    </row>
    <row r="544" spans="1:8" ht="20.25">
      <c r="A544" s="200"/>
      <c r="B544" s="201"/>
      <c r="C544" s="202" t="s">
        <v>416</v>
      </c>
      <c r="D544" s="203">
        <v>1</v>
      </c>
      <c r="E544" s="204" t="s">
        <v>190</v>
      </c>
      <c r="F544" s="205" t="s">
        <v>208</v>
      </c>
      <c r="G544" s="206">
        <f>SUM(G539:G543)</f>
        <v>635.052</v>
      </c>
      <c r="H544" s="207" t="s">
        <v>209</v>
      </c>
    </row>
    <row r="545" spans="1:8" ht="20.25">
      <c r="A545" s="208">
        <v>9.34</v>
      </c>
      <c r="B545" s="284" t="s">
        <v>418</v>
      </c>
      <c r="C545" s="193"/>
      <c r="D545" s="283" t="s">
        <v>198</v>
      </c>
      <c r="E545" s="211" t="s">
        <v>198</v>
      </c>
      <c r="F545" s="252" t="s">
        <v>198</v>
      </c>
      <c r="G545" s="273" t="s">
        <v>198</v>
      </c>
      <c r="H545" s="234" t="s">
        <v>198</v>
      </c>
    </row>
    <row r="546" spans="1:8" ht="20.25">
      <c r="A546" s="189"/>
      <c r="B546" s="187" t="s">
        <v>414</v>
      </c>
      <c r="C546" s="188"/>
      <c r="D546" s="198" t="s">
        <v>198</v>
      </c>
      <c r="E546" s="191" t="s">
        <v>198</v>
      </c>
      <c r="F546" s="195" t="s">
        <v>198</v>
      </c>
      <c r="G546" s="256" t="s">
        <v>198</v>
      </c>
      <c r="H546" s="228" t="s">
        <v>198</v>
      </c>
    </row>
    <row r="547" spans="1:8" ht="19.5">
      <c r="A547" s="189"/>
      <c r="B547" s="192"/>
      <c r="C547" s="188" t="s">
        <v>419</v>
      </c>
      <c r="D547" s="254">
        <v>1</v>
      </c>
      <c r="E547" s="191" t="s">
        <v>190</v>
      </c>
      <c r="F547" s="195">
        <v>294</v>
      </c>
      <c r="G547" s="256">
        <f>D547*F547</f>
        <v>294</v>
      </c>
      <c r="H547" s="314" t="s">
        <v>374</v>
      </c>
    </row>
    <row r="548" spans="1:8" ht="19.5">
      <c r="A548" s="189"/>
      <c r="B548" s="192"/>
      <c r="C548" s="188" t="s">
        <v>375</v>
      </c>
      <c r="D548" s="254">
        <v>0.48</v>
      </c>
      <c r="E548" s="191" t="s">
        <v>348</v>
      </c>
      <c r="F548" s="252">
        <v>400</v>
      </c>
      <c r="G548" s="256">
        <f>D548*F548</f>
        <v>192</v>
      </c>
      <c r="H548" s="314" t="s">
        <v>329</v>
      </c>
    </row>
    <row r="549" spans="1:8" ht="19.5">
      <c r="A549" s="189"/>
      <c r="B549" s="192"/>
      <c r="C549" s="188" t="s">
        <v>350</v>
      </c>
      <c r="D549" s="198">
        <v>0.2</v>
      </c>
      <c r="E549" s="191" t="s">
        <v>201</v>
      </c>
      <c r="F549" s="313">
        <v>12.92</v>
      </c>
      <c r="G549" s="256">
        <f>D549*F549</f>
        <v>2.584</v>
      </c>
      <c r="H549" s="189"/>
    </row>
    <row r="550" spans="1:8" ht="20.25">
      <c r="A550" s="200"/>
      <c r="B550" s="201"/>
      <c r="C550" s="202" t="s">
        <v>420</v>
      </c>
      <c r="D550" s="203">
        <v>1</v>
      </c>
      <c r="E550" s="204" t="s">
        <v>190</v>
      </c>
      <c r="F550" s="205" t="s">
        <v>208</v>
      </c>
      <c r="G550" s="206">
        <f>SUM(G545:G549)</f>
        <v>488.584</v>
      </c>
      <c r="H550" s="207" t="s">
        <v>209</v>
      </c>
    </row>
    <row r="551" spans="1:8" ht="20.25">
      <c r="A551" s="296">
        <v>9.35</v>
      </c>
      <c r="B551" s="284" t="s">
        <v>418</v>
      </c>
      <c r="C551" s="193"/>
      <c r="D551" s="283" t="s">
        <v>198</v>
      </c>
      <c r="E551" s="211" t="s">
        <v>198</v>
      </c>
      <c r="F551" s="252" t="s">
        <v>198</v>
      </c>
      <c r="G551" s="273" t="s">
        <v>198</v>
      </c>
      <c r="H551" s="234" t="s">
        <v>198</v>
      </c>
    </row>
    <row r="552" spans="1:8" ht="20.25">
      <c r="A552" s="189"/>
      <c r="B552" s="187" t="s">
        <v>417</v>
      </c>
      <c r="C552" s="188"/>
      <c r="D552" s="189"/>
      <c r="E552" s="189"/>
      <c r="F552" s="195" t="s">
        <v>198</v>
      </c>
      <c r="G552" s="256" t="s">
        <v>198</v>
      </c>
      <c r="H552" s="228" t="s">
        <v>198</v>
      </c>
    </row>
    <row r="553" spans="1:8" ht="19.5">
      <c r="A553" s="189"/>
      <c r="B553" s="192"/>
      <c r="C553" s="188" t="s">
        <v>419</v>
      </c>
      <c r="D553" s="254">
        <v>1</v>
      </c>
      <c r="E553" s="191" t="s">
        <v>190</v>
      </c>
      <c r="F553" s="195">
        <v>294</v>
      </c>
      <c r="G553" s="256">
        <f>D553*F553</f>
        <v>294</v>
      </c>
      <c r="H553" s="314" t="s">
        <v>374</v>
      </c>
    </row>
    <row r="554" spans="1:8" ht="19.5">
      <c r="A554" s="189"/>
      <c r="B554" s="192"/>
      <c r="C554" s="188" t="s">
        <v>379</v>
      </c>
      <c r="D554" s="254">
        <v>0.48</v>
      </c>
      <c r="E554" s="191" t="s">
        <v>348</v>
      </c>
      <c r="F554" s="252">
        <v>842</v>
      </c>
      <c r="G554" s="256">
        <f>D554*F554</f>
        <v>404.15999999999997</v>
      </c>
      <c r="H554" s="314" t="s">
        <v>329</v>
      </c>
    </row>
    <row r="555" spans="1:8" ht="19.5">
      <c r="A555" s="189"/>
      <c r="B555" s="192"/>
      <c r="C555" s="188" t="s">
        <v>350</v>
      </c>
      <c r="D555" s="198">
        <v>0.2</v>
      </c>
      <c r="E555" s="191" t="s">
        <v>201</v>
      </c>
      <c r="F555" s="313">
        <v>24.46</v>
      </c>
      <c r="G555" s="256">
        <f>D555*F555</f>
        <v>4.892</v>
      </c>
      <c r="H555" s="189"/>
    </row>
    <row r="556" spans="1:8" ht="20.25">
      <c r="A556" s="200"/>
      <c r="B556" s="201"/>
      <c r="C556" s="202" t="s">
        <v>420</v>
      </c>
      <c r="D556" s="203">
        <v>1</v>
      </c>
      <c r="E556" s="204" t="s">
        <v>190</v>
      </c>
      <c r="F556" s="205" t="s">
        <v>208</v>
      </c>
      <c r="G556" s="206">
        <f>SUM(G551:G555)</f>
        <v>703.052</v>
      </c>
      <c r="H556" s="207" t="s">
        <v>209</v>
      </c>
    </row>
    <row r="557" spans="1:8" ht="20.25">
      <c r="A557" s="208">
        <v>9.36</v>
      </c>
      <c r="B557" s="284" t="s">
        <v>413</v>
      </c>
      <c r="C557" s="193"/>
      <c r="D557" s="283" t="s">
        <v>198</v>
      </c>
      <c r="E557" s="211" t="s">
        <v>198</v>
      </c>
      <c r="F557" s="252" t="s">
        <v>198</v>
      </c>
      <c r="G557" s="273" t="s">
        <v>198</v>
      </c>
      <c r="H557" s="234" t="s">
        <v>198</v>
      </c>
    </row>
    <row r="558" spans="1:8" ht="20.25">
      <c r="A558" s="189"/>
      <c r="B558" s="187" t="s">
        <v>421</v>
      </c>
      <c r="C558" s="188"/>
      <c r="D558" s="198"/>
      <c r="E558" s="191" t="s">
        <v>198</v>
      </c>
      <c r="F558" s="195" t="s">
        <v>198</v>
      </c>
      <c r="G558" s="256" t="s">
        <v>198</v>
      </c>
      <c r="H558" s="228" t="s">
        <v>198</v>
      </c>
    </row>
    <row r="559" spans="1:8" ht="19.5">
      <c r="A559" s="189"/>
      <c r="B559" s="192"/>
      <c r="C559" s="188" t="s">
        <v>415</v>
      </c>
      <c r="D559" s="254">
        <v>2</v>
      </c>
      <c r="E559" s="191" t="s">
        <v>190</v>
      </c>
      <c r="F559" s="195">
        <v>226</v>
      </c>
      <c r="G559" s="256">
        <f>D559*F559</f>
        <v>452</v>
      </c>
      <c r="H559" s="314" t="s">
        <v>374</v>
      </c>
    </row>
    <row r="560" spans="1:8" ht="19.5">
      <c r="A560" s="189"/>
      <c r="B560" s="192"/>
      <c r="C560" s="188" t="s">
        <v>389</v>
      </c>
      <c r="D560" s="254">
        <v>0.48</v>
      </c>
      <c r="E560" s="191" t="s">
        <v>348</v>
      </c>
      <c r="F560" s="252">
        <v>396</v>
      </c>
      <c r="G560" s="256">
        <f>D560*F560</f>
        <v>190.07999999999998</v>
      </c>
      <c r="H560" s="314" t="s">
        <v>329</v>
      </c>
    </row>
    <row r="561" spans="1:8" ht="19.5">
      <c r="A561" s="189"/>
      <c r="B561" s="192"/>
      <c r="C561" s="188" t="s">
        <v>350</v>
      </c>
      <c r="D561" s="198">
        <v>0.28</v>
      </c>
      <c r="E561" s="191" t="s">
        <v>201</v>
      </c>
      <c r="F561" s="313">
        <v>12.92</v>
      </c>
      <c r="G561" s="256">
        <f>D561*F561</f>
        <v>3.6176000000000004</v>
      </c>
      <c r="H561" s="189"/>
    </row>
    <row r="562" spans="1:8" ht="20.25">
      <c r="A562" s="200"/>
      <c r="B562" s="201"/>
      <c r="C562" s="202" t="s">
        <v>422</v>
      </c>
      <c r="D562" s="203">
        <v>1</v>
      </c>
      <c r="E562" s="204" t="s">
        <v>190</v>
      </c>
      <c r="F562" s="205" t="s">
        <v>208</v>
      </c>
      <c r="G562" s="206">
        <f>SUM(G557:G561)</f>
        <v>645.6976</v>
      </c>
      <c r="H562" s="207" t="s">
        <v>209</v>
      </c>
    </row>
    <row r="563" spans="1:8" ht="20.25">
      <c r="A563" s="296">
        <v>9.37</v>
      </c>
      <c r="B563" s="284" t="s">
        <v>413</v>
      </c>
      <c r="C563" s="193"/>
      <c r="D563" s="283" t="s">
        <v>198</v>
      </c>
      <c r="E563" s="211" t="s">
        <v>198</v>
      </c>
      <c r="F563" s="252" t="s">
        <v>198</v>
      </c>
      <c r="G563" s="273" t="s">
        <v>198</v>
      </c>
      <c r="H563" s="234" t="s">
        <v>198</v>
      </c>
    </row>
    <row r="564" spans="1:8" ht="20.25">
      <c r="A564" s="189"/>
      <c r="B564" s="187" t="s">
        <v>423</v>
      </c>
      <c r="C564" s="188"/>
      <c r="D564" s="189"/>
      <c r="E564" s="189"/>
      <c r="F564" s="195" t="s">
        <v>198</v>
      </c>
      <c r="G564" s="256" t="s">
        <v>198</v>
      </c>
      <c r="H564" s="228" t="s">
        <v>198</v>
      </c>
    </row>
    <row r="565" spans="1:8" ht="19.5">
      <c r="A565" s="189"/>
      <c r="B565" s="192"/>
      <c r="C565" s="188" t="s">
        <v>415</v>
      </c>
      <c r="D565" s="254">
        <v>2</v>
      </c>
      <c r="E565" s="191" t="s">
        <v>190</v>
      </c>
      <c r="F565" s="195">
        <v>226</v>
      </c>
      <c r="G565" s="256">
        <f>D565*F565</f>
        <v>452</v>
      </c>
      <c r="H565" s="314" t="s">
        <v>374</v>
      </c>
    </row>
    <row r="566" spans="1:8" ht="19.5">
      <c r="A566" s="200"/>
      <c r="B566" s="201"/>
      <c r="C566" s="202" t="s">
        <v>392</v>
      </c>
      <c r="D566" s="247">
        <v>0.48</v>
      </c>
      <c r="E566" s="204" t="s">
        <v>348</v>
      </c>
      <c r="F566" s="248">
        <v>838</v>
      </c>
      <c r="G566" s="282">
        <f>D566*F566</f>
        <v>402.24</v>
      </c>
      <c r="H566" s="317" t="s">
        <v>329</v>
      </c>
    </row>
    <row r="567" spans="1:8" ht="19.5">
      <c r="A567" s="209"/>
      <c r="B567" s="250"/>
      <c r="C567" s="193" t="s">
        <v>350</v>
      </c>
      <c r="D567" s="283">
        <v>0.28</v>
      </c>
      <c r="E567" s="211" t="s">
        <v>201</v>
      </c>
      <c r="F567" s="313">
        <v>24.46</v>
      </c>
      <c r="G567" s="273">
        <f>D567*F567</f>
        <v>6.848800000000001</v>
      </c>
      <c r="H567" s="209"/>
    </row>
    <row r="568" spans="1:8" ht="20.25">
      <c r="A568" s="200"/>
      <c r="B568" s="201"/>
      <c r="C568" s="202" t="s">
        <v>422</v>
      </c>
      <c r="D568" s="203">
        <v>1</v>
      </c>
      <c r="E568" s="204" t="s">
        <v>190</v>
      </c>
      <c r="F568" s="205" t="s">
        <v>208</v>
      </c>
      <c r="G568" s="206">
        <f>SUM(G563:G567)</f>
        <v>861.0888</v>
      </c>
      <c r="H568" s="207" t="s">
        <v>209</v>
      </c>
    </row>
    <row r="569" spans="1:8" ht="20.25">
      <c r="A569" s="208">
        <v>9.38</v>
      </c>
      <c r="B569" s="284" t="s">
        <v>418</v>
      </c>
      <c r="C569" s="193"/>
      <c r="D569" s="283" t="s">
        <v>198</v>
      </c>
      <c r="E569" s="211" t="s">
        <v>198</v>
      </c>
      <c r="F569" s="252" t="s">
        <v>198</v>
      </c>
      <c r="G569" s="273" t="s">
        <v>198</v>
      </c>
      <c r="H569" s="234" t="s">
        <v>198</v>
      </c>
    </row>
    <row r="570" spans="1:8" ht="20.25">
      <c r="A570" s="189"/>
      <c r="B570" s="187" t="s">
        <v>421</v>
      </c>
      <c r="C570" s="188"/>
      <c r="D570" s="198" t="s">
        <v>198</v>
      </c>
      <c r="E570" s="191" t="s">
        <v>198</v>
      </c>
      <c r="F570" s="195" t="s">
        <v>198</v>
      </c>
      <c r="G570" s="256" t="s">
        <v>198</v>
      </c>
      <c r="H570" s="228" t="s">
        <v>198</v>
      </c>
    </row>
    <row r="571" spans="1:8" ht="19.5">
      <c r="A571" s="189"/>
      <c r="B571" s="192"/>
      <c r="C571" s="188" t="s">
        <v>419</v>
      </c>
      <c r="D571" s="254">
        <v>2</v>
      </c>
      <c r="E571" s="191" t="s">
        <v>190</v>
      </c>
      <c r="F571" s="195">
        <v>294</v>
      </c>
      <c r="G571" s="256">
        <f>D571*F571</f>
        <v>588</v>
      </c>
      <c r="H571" s="314" t="s">
        <v>374</v>
      </c>
    </row>
    <row r="572" spans="1:8" ht="19.5">
      <c r="A572" s="189"/>
      <c r="B572" s="192"/>
      <c r="C572" s="188" t="s">
        <v>389</v>
      </c>
      <c r="D572" s="254">
        <v>0.48</v>
      </c>
      <c r="E572" s="191" t="s">
        <v>348</v>
      </c>
      <c r="F572" s="252">
        <v>396</v>
      </c>
      <c r="G572" s="256">
        <f>D572*F572</f>
        <v>190.07999999999998</v>
      </c>
      <c r="H572" s="314" t="s">
        <v>329</v>
      </c>
    </row>
    <row r="573" spans="1:8" ht="19.5">
      <c r="A573" s="189"/>
      <c r="B573" s="192"/>
      <c r="C573" s="188" t="s">
        <v>350</v>
      </c>
      <c r="D573" s="198">
        <v>0.28</v>
      </c>
      <c r="E573" s="191" t="s">
        <v>201</v>
      </c>
      <c r="F573" s="313">
        <v>24.46</v>
      </c>
      <c r="G573" s="256">
        <f>D573*F573</f>
        <v>6.848800000000001</v>
      </c>
      <c r="H573" s="189"/>
    </row>
    <row r="574" spans="1:8" ht="20.25">
      <c r="A574" s="200"/>
      <c r="B574" s="201"/>
      <c r="C574" s="202" t="s">
        <v>424</v>
      </c>
      <c r="D574" s="203">
        <v>1</v>
      </c>
      <c r="E574" s="204" t="s">
        <v>190</v>
      </c>
      <c r="F574" s="205" t="s">
        <v>208</v>
      </c>
      <c r="G574" s="206">
        <f>SUM(G569:G573)</f>
        <v>784.9287999999999</v>
      </c>
      <c r="H574" s="207" t="s">
        <v>209</v>
      </c>
    </row>
    <row r="575" spans="1:8" ht="21" customHeight="1">
      <c r="A575" s="296">
        <v>9.39</v>
      </c>
      <c r="B575" s="284" t="s">
        <v>418</v>
      </c>
      <c r="C575" s="193"/>
      <c r="D575" s="283" t="s">
        <v>198</v>
      </c>
      <c r="E575" s="211" t="s">
        <v>198</v>
      </c>
      <c r="F575" s="252" t="s">
        <v>198</v>
      </c>
      <c r="G575" s="273" t="s">
        <v>198</v>
      </c>
      <c r="H575" s="234" t="s">
        <v>198</v>
      </c>
    </row>
    <row r="576" spans="1:8" ht="21" customHeight="1">
      <c r="A576" s="189"/>
      <c r="B576" s="187" t="s">
        <v>423</v>
      </c>
      <c r="C576" s="188"/>
      <c r="D576" s="189"/>
      <c r="E576" s="189"/>
      <c r="F576" s="195" t="s">
        <v>198</v>
      </c>
      <c r="G576" s="256" t="s">
        <v>198</v>
      </c>
      <c r="H576" s="228" t="s">
        <v>198</v>
      </c>
    </row>
    <row r="577" spans="1:8" ht="21" customHeight="1">
      <c r="A577" s="189"/>
      <c r="B577" s="192"/>
      <c r="C577" s="188" t="s">
        <v>419</v>
      </c>
      <c r="D577" s="254">
        <v>2</v>
      </c>
      <c r="E577" s="191" t="s">
        <v>190</v>
      </c>
      <c r="F577" s="195">
        <v>294</v>
      </c>
      <c r="G577" s="256">
        <f>D577*F577</f>
        <v>588</v>
      </c>
      <c r="H577" s="314" t="s">
        <v>374</v>
      </c>
    </row>
    <row r="578" spans="1:8" ht="21" customHeight="1">
      <c r="A578" s="189"/>
      <c r="B578" s="192"/>
      <c r="C578" s="188" t="s">
        <v>392</v>
      </c>
      <c r="D578" s="254">
        <v>0.48</v>
      </c>
      <c r="E578" s="191" t="s">
        <v>348</v>
      </c>
      <c r="F578" s="252">
        <v>838</v>
      </c>
      <c r="G578" s="256">
        <f>D578*F578</f>
        <v>402.24</v>
      </c>
      <c r="H578" s="314" t="s">
        <v>329</v>
      </c>
    </row>
    <row r="579" spans="1:8" ht="21" customHeight="1">
      <c r="A579" s="189"/>
      <c r="B579" s="192"/>
      <c r="C579" s="188" t="s">
        <v>350</v>
      </c>
      <c r="D579" s="198">
        <v>0.28</v>
      </c>
      <c r="E579" s="191" t="s">
        <v>201</v>
      </c>
      <c r="F579" s="313">
        <v>24.46</v>
      </c>
      <c r="G579" s="256">
        <f>D579*F579</f>
        <v>6.848800000000001</v>
      </c>
      <c r="H579" s="189"/>
    </row>
    <row r="580" spans="1:8" ht="21" customHeight="1">
      <c r="A580" s="200"/>
      <c r="B580" s="201"/>
      <c r="C580" s="202" t="s">
        <v>424</v>
      </c>
      <c r="D580" s="203">
        <v>1</v>
      </c>
      <c r="E580" s="204" t="s">
        <v>190</v>
      </c>
      <c r="F580" s="205" t="s">
        <v>208</v>
      </c>
      <c r="G580" s="206">
        <f>SUM(G575:G579)</f>
        <v>997.0888</v>
      </c>
      <c r="H580" s="207" t="s">
        <v>209</v>
      </c>
    </row>
    <row r="581" spans="1:8" ht="21" customHeight="1">
      <c r="A581" s="296">
        <v>9.4</v>
      </c>
      <c r="B581" s="284" t="s">
        <v>425</v>
      </c>
      <c r="C581" s="193"/>
      <c r="D581" s="283" t="s">
        <v>198</v>
      </c>
      <c r="E581" s="211" t="s">
        <v>198</v>
      </c>
      <c r="F581" s="252" t="s">
        <v>198</v>
      </c>
      <c r="G581" s="273" t="s">
        <v>198</v>
      </c>
      <c r="H581" s="234" t="s">
        <v>198</v>
      </c>
    </row>
    <row r="582" spans="1:8" ht="21" customHeight="1">
      <c r="A582" s="189"/>
      <c r="B582" s="187" t="s">
        <v>414</v>
      </c>
      <c r="C582" s="188"/>
      <c r="D582" s="198" t="s">
        <v>198</v>
      </c>
      <c r="E582" s="191" t="s">
        <v>198</v>
      </c>
      <c r="F582" s="195" t="s">
        <v>198</v>
      </c>
      <c r="G582" s="256" t="s">
        <v>198</v>
      </c>
      <c r="H582" s="228" t="s">
        <v>198</v>
      </c>
    </row>
    <row r="583" spans="1:8" ht="21" customHeight="1">
      <c r="A583" s="189"/>
      <c r="B583" s="192"/>
      <c r="C583" s="188" t="s">
        <v>426</v>
      </c>
      <c r="D583" s="254">
        <v>1</v>
      </c>
      <c r="E583" s="191" t="s">
        <v>190</v>
      </c>
      <c r="F583" s="195">
        <v>79.33</v>
      </c>
      <c r="G583" s="256">
        <f>D583*F583</f>
        <v>79.33</v>
      </c>
      <c r="H583" s="314" t="s">
        <v>374</v>
      </c>
    </row>
    <row r="584" spans="1:8" ht="21" customHeight="1">
      <c r="A584" s="189"/>
      <c r="B584" s="192"/>
      <c r="C584" s="188" t="s">
        <v>375</v>
      </c>
      <c r="D584" s="254">
        <v>0.48</v>
      </c>
      <c r="E584" s="191" t="s">
        <v>348</v>
      </c>
      <c r="F584" s="252">
        <v>400</v>
      </c>
      <c r="G584" s="256">
        <f>D584*F584</f>
        <v>192</v>
      </c>
      <c r="H584" s="314" t="s">
        <v>329</v>
      </c>
    </row>
    <row r="585" spans="1:8" ht="21" customHeight="1">
      <c r="A585" s="189"/>
      <c r="B585" s="192"/>
      <c r="C585" s="188" t="s">
        <v>350</v>
      </c>
      <c r="D585" s="198">
        <v>0.2</v>
      </c>
      <c r="E585" s="191" t="s">
        <v>201</v>
      </c>
      <c r="F585" s="313">
        <v>24.46</v>
      </c>
      <c r="G585" s="256">
        <f>D585*F585</f>
        <v>4.892</v>
      </c>
      <c r="H585" s="189"/>
    </row>
    <row r="586" spans="1:8" ht="21" customHeight="1">
      <c r="A586" s="265"/>
      <c r="B586" s="259"/>
      <c r="C586" s="188" t="s">
        <v>427</v>
      </c>
      <c r="D586" s="198">
        <v>1</v>
      </c>
      <c r="E586" s="191" t="s">
        <v>190</v>
      </c>
      <c r="F586" s="313">
        <v>5</v>
      </c>
      <c r="G586" s="256">
        <f>D586*F586</f>
        <v>5</v>
      </c>
      <c r="H586" s="265"/>
    </row>
    <row r="587" spans="1:8" ht="21" customHeight="1">
      <c r="A587" s="200"/>
      <c r="B587" s="201"/>
      <c r="C587" s="202" t="s">
        <v>428</v>
      </c>
      <c r="D587" s="203">
        <v>1</v>
      </c>
      <c r="E587" s="204" t="s">
        <v>190</v>
      </c>
      <c r="F587" s="205" t="s">
        <v>208</v>
      </c>
      <c r="G587" s="206">
        <f>SUM(G581:G586)</f>
        <v>281.222</v>
      </c>
      <c r="H587" s="207" t="s">
        <v>209</v>
      </c>
    </row>
    <row r="588" spans="1:8" ht="19.5" customHeight="1">
      <c r="A588" s="296">
        <v>9.41</v>
      </c>
      <c r="B588" s="284" t="s">
        <v>425</v>
      </c>
      <c r="C588" s="193"/>
      <c r="D588" s="283" t="s">
        <v>198</v>
      </c>
      <c r="E588" s="211" t="s">
        <v>198</v>
      </c>
      <c r="F588" s="252" t="s">
        <v>198</v>
      </c>
      <c r="G588" s="273" t="s">
        <v>198</v>
      </c>
      <c r="H588" s="234" t="s">
        <v>198</v>
      </c>
    </row>
    <row r="589" spans="1:8" ht="19.5" customHeight="1">
      <c r="A589" s="189"/>
      <c r="B589" s="187" t="s">
        <v>417</v>
      </c>
      <c r="C589" s="188"/>
      <c r="D589" s="198" t="s">
        <v>198</v>
      </c>
      <c r="E589" s="191" t="s">
        <v>198</v>
      </c>
      <c r="F589" s="195" t="s">
        <v>198</v>
      </c>
      <c r="G589" s="256" t="s">
        <v>198</v>
      </c>
      <c r="H589" s="228" t="s">
        <v>198</v>
      </c>
    </row>
    <row r="590" spans="1:8" ht="19.5" customHeight="1">
      <c r="A590" s="189"/>
      <c r="B590" s="192"/>
      <c r="C590" s="188" t="s">
        <v>426</v>
      </c>
      <c r="D590" s="254">
        <v>1</v>
      </c>
      <c r="E590" s="191" t="s">
        <v>190</v>
      </c>
      <c r="F590" s="195">
        <v>79.33</v>
      </c>
      <c r="G590" s="256">
        <f>D590*F590</f>
        <v>79.33</v>
      </c>
      <c r="H590" s="314" t="s">
        <v>374</v>
      </c>
    </row>
    <row r="591" spans="1:8" ht="19.5" customHeight="1">
      <c r="A591" s="189"/>
      <c r="B591" s="192"/>
      <c r="C591" s="188" t="s">
        <v>379</v>
      </c>
      <c r="D591" s="254">
        <v>0.48</v>
      </c>
      <c r="E591" s="191" t="s">
        <v>348</v>
      </c>
      <c r="F591" s="252">
        <v>842</v>
      </c>
      <c r="G591" s="256">
        <f>D591*F591</f>
        <v>404.15999999999997</v>
      </c>
      <c r="H591" s="314" t="s">
        <v>329</v>
      </c>
    </row>
    <row r="592" spans="1:8" ht="19.5" customHeight="1">
      <c r="A592" s="189"/>
      <c r="B592" s="192"/>
      <c r="C592" s="188" t="s">
        <v>350</v>
      </c>
      <c r="D592" s="198">
        <v>0.2</v>
      </c>
      <c r="E592" s="191" t="s">
        <v>201</v>
      </c>
      <c r="F592" s="313">
        <v>24.46</v>
      </c>
      <c r="G592" s="256">
        <f>D592*F592</f>
        <v>4.892</v>
      </c>
      <c r="H592" s="189"/>
    </row>
    <row r="593" spans="1:8" ht="19.5" customHeight="1">
      <c r="A593" s="265"/>
      <c r="B593" s="259"/>
      <c r="C593" s="188" t="s">
        <v>427</v>
      </c>
      <c r="D593" s="198">
        <v>1</v>
      </c>
      <c r="E593" s="191" t="s">
        <v>190</v>
      </c>
      <c r="F593" s="313">
        <v>5</v>
      </c>
      <c r="G593" s="256">
        <f>D593*F593</f>
        <v>5</v>
      </c>
      <c r="H593" s="265"/>
    </row>
    <row r="594" spans="1:8" ht="19.5" customHeight="1">
      <c r="A594" s="200"/>
      <c r="B594" s="201"/>
      <c r="C594" s="202" t="s">
        <v>428</v>
      </c>
      <c r="D594" s="203">
        <v>1</v>
      </c>
      <c r="E594" s="204" t="s">
        <v>190</v>
      </c>
      <c r="F594" s="205" t="s">
        <v>208</v>
      </c>
      <c r="G594" s="206">
        <f>SUM(G588:G593)</f>
        <v>493.38199999999995</v>
      </c>
      <c r="H594" s="207" t="s">
        <v>209</v>
      </c>
    </row>
    <row r="595" spans="1:8" ht="19.5" customHeight="1">
      <c r="A595" s="208">
        <v>9.42</v>
      </c>
      <c r="B595" s="284" t="s">
        <v>429</v>
      </c>
      <c r="C595" s="193"/>
      <c r="D595" s="283" t="s">
        <v>198</v>
      </c>
      <c r="E595" s="211" t="s">
        <v>198</v>
      </c>
      <c r="F595" s="252" t="s">
        <v>198</v>
      </c>
      <c r="G595" s="273" t="s">
        <v>198</v>
      </c>
      <c r="H595" s="234" t="s">
        <v>198</v>
      </c>
    </row>
    <row r="596" spans="1:8" ht="19.5" customHeight="1">
      <c r="A596" s="189"/>
      <c r="B596" s="187" t="s">
        <v>414</v>
      </c>
      <c r="C596" s="188"/>
      <c r="D596" s="198" t="s">
        <v>198</v>
      </c>
      <c r="E596" s="191" t="s">
        <v>198</v>
      </c>
      <c r="F596" s="195" t="s">
        <v>198</v>
      </c>
      <c r="G596" s="256" t="s">
        <v>198</v>
      </c>
      <c r="H596" s="228" t="s">
        <v>198</v>
      </c>
    </row>
    <row r="597" spans="1:8" ht="19.5" customHeight="1">
      <c r="A597" s="189"/>
      <c r="B597" s="192"/>
      <c r="C597" s="188" t="s">
        <v>430</v>
      </c>
      <c r="D597" s="254">
        <v>1</v>
      </c>
      <c r="E597" s="191" t="s">
        <v>190</v>
      </c>
      <c r="F597" s="195">
        <v>83.33</v>
      </c>
      <c r="G597" s="256">
        <f>D597*F597</f>
        <v>83.33</v>
      </c>
      <c r="H597" s="314" t="s">
        <v>374</v>
      </c>
    </row>
    <row r="598" spans="1:8" ht="19.5" customHeight="1">
      <c r="A598" s="189"/>
      <c r="B598" s="192"/>
      <c r="C598" s="188" t="s">
        <v>375</v>
      </c>
      <c r="D598" s="254">
        <v>0.48</v>
      </c>
      <c r="E598" s="191" t="s">
        <v>348</v>
      </c>
      <c r="F598" s="252">
        <v>400</v>
      </c>
      <c r="G598" s="256">
        <f>D598*F598</f>
        <v>192</v>
      </c>
      <c r="H598" s="314" t="s">
        <v>329</v>
      </c>
    </row>
    <row r="599" spans="1:8" ht="19.5" customHeight="1">
      <c r="A599" s="189"/>
      <c r="B599" s="192"/>
      <c r="C599" s="188" t="s">
        <v>350</v>
      </c>
      <c r="D599" s="198">
        <v>0.2</v>
      </c>
      <c r="E599" s="191" t="s">
        <v>201</v>
      </c>
      <c r="F599" s="313">
        <v>24.46</v>
      </c>
      <c r="G599" s="256">
        <f>D599*F599</f>
        <v>4.892</v>
      </c>
      <c r="H599" s="189"/>
    </row>
    <row r="600" spans="1:8" ht="19.5" customHeight="1">
      <c r="A600" s="265"/>
      <c r="B600" s="259"/>
      <c r="C600" s="188" t="s">
        <v>427</v>
      </c>
      <c r="D600" s="198">
        <v>1</v>
      </c>
      <c r="E600" s="191" t="s">
        <v>190</v>
      </c>
      <c r="F600" s="313">
        <v>5</v>
      </c>
      <c r="G600" s="256">
        <f>D600*F600</f>
        <v>5</v>
      </c>
      <c r="H600" s="265"/>
    </row>
    <row r="601" spans="1:8" ht="19.5" customHeight="1">
      <c r="A601" s="200"/>
      <c r="B601" s="201"/>
      <c r="C601" s="202" t="s">
        <v>431</v>
      </c>
      <c r="D601" s="203">
        <v>1</v>
      </c>
      <c r="E601" s="204" t="s">
        <v>190</v>
      </c>
      <c r="F601" s="205" t="s">
        <v>208</v>
      </c>
      <c r="G601" s="206">
        <f>SUM(G595:G600)</f>
        <v>285.222</v>
      </c>
      <c r="H601" s="207" t="s">
        <v>209</v>
      </c>
    </row>
    <row r="602" spans="1:8" ht="19.5" customHeight="1">
      <c r="A602" s="296">
        <v>9.43</v>
      </c>
      <c r="B602" s="284" t="s">
        <v>429</v>
      </c>
      <c r="C602" s="193"/>
      <c r="D602" s="283" t="s">
        <v>198</v>
      </c>
      <c r="E602" s="211" t="s">
        <v>198</v>
      </c>
      <c r="F602" s="252" t="s">
        <v>198</v>
      </c>
      <c r="G602" s="273" t="s">
        <v>198</v>
      </c>
      <c r="H602" s="234" t="s">
        <v>198</v>
      </c>
    </row>
    <row r="603" spans="1:8" ht="19.5" customHeight="1">
      <c r="A603" s="189"/>
      <c r="B603" s="187" t="s">
        <v>417</v>
      </c>
      <c r="C603" s="188"/>
      <c r="D603" s="198" t="s">
        <v>198</v>
      </c>
      <c r="E603" s="191" t="s">
        <v>198</v>
      </c>
      <c r="F603" s="195" t="s">
        <v>198</v>
      </c>
      <c r="G603" s="256" t="s">
        <v>198</v>
      </c>
      <c r="H603" s="228" t="s">
        <v>198</v>
      </c>
    </row>
    <row r="604" spans="1:8" ht="19.5" customHeight="1">
      <c r="A604" s="189"/>
      <c r="B604" s="192"/>
      <c r="C604" s="188" t="s">
        <v>430</v>
      </c>
      <c r="D604" s="254">
        <v>1</v>
      </c>
      <c r="E604" s="191" t="s">
        <v>190</v>
      </c>
      <c r="F604" s="195">
        <v>83.33</v>
      </c>
      <c r="G604" s="256">
        <f>D604*F604</f>
        <v>83.33</v>
      </c>
      <c r="H604" s="314" t="s">
        <v>374</v>
      </c>
    </row>
    <row r="605" spans="1:8" ht="19.5" customHeight="1">
      <c r="A605" s="189"/>
      <c r="B605" s="192"/>
      <c r="C605" s="188" t="s">
        <v>379</v>
      </c>
      <c r="D605" s="254">
        <v>0.48</v>
      </c>
      <c r="E605" s="191" t="s">
        <v>348</v>
      </c>
      <c r="F605" s="252">
        <v>842</v>
      </c>
      <c r="G605" s="256">
        <f>D605*F605</f>
        <v>404.15999999999997</v>
      </c>
      <c r="H605" s="314" t="s">
        <v>329</v>
      </c>
    </row>
    <row r="606" spans="1:8" ht="19.5" customHeight="1">
      <c r="A606" s="189"/>
      <c r="B606" s="192"/>
      <c r="C606" s="188" t="s">
        <v>350</v>
      </c>
      <c r="D606" s="198">
        <v>0.2</v>
      </c>
      <c r="E606" s="191" t="s">
        <v>201</v>
      </c>
      <c r="F606" s="313">
        <v>24.46</v>
      </c>
      <c r="G606" s="256">
        <f>D606*F606</f>
        <v>4.892</v>
      </c>
      <c r="H606" s="189"/>
    </row>
    <row r="607" spans="1:8" ht="19.5" customHeight="1">
      <c r="A607" s="265"/>
      <c r="B607" s="259"/>
      <c r="C607" s="188" t="s">
        <v>427</v>
      </c>
      <c r="D607" s="198">
        <v>1</v>
      </c>
      <c r="E607" s="191" t="s">
        <v>190</v>
      </c>
      <c r="F607" s="313">
        <v>5</v>
      </c>
      <c r="G607" s="256">
        <f>D607*F607</f>
        <v>5</v>
      </c>
      <c r="H607" s="265"/>
    </row>
    <row r="608" spans="1:8" ht="19.5" customHeight="1">
      <c r="A608" s="265"/>
      <c r="B608" s="259"/>
      <c r="C608" s="260" t="s">
        <v>431</v>
      </c>
      <c r="D608" s="261">
        <v>1</v>
      </c>
      <c r="E608" s="262" t="s">
        <v>190</v>
      </c>
      <c r="F608" s="263" t="s">
        <v>208</v>
      </c>
      <c r="G608" s="264">
        <f>SUM(G602:G607)</f>
        <v>497.38199999999995</v>
      </c>
      <c r="H608" s="274" t="s">
        <v>209</v>
      </c>
    </row>
    <row r="609" spans="1:8" ht="19.5" customHeight="1">
      <c r="A609" s="200"/>
      <c r="B609" s="201"/>
      <c r="C609" s="202"/>
      <c r="D609" s="203"/>
      <c r="E609" s="204"/>
      <c r="F609" s="205"/>
      <c r="G609" s="206"/>
      <c r="H609" s="207"/>
    </row>
    <row r="610" spans="1:8" ht="19.5" customHeight="1">
      <c r="A610" s="208">
        <v>9.44</v>
      </c>
      <c r="B610" s="284" t="s">
        <v>425</v>
      </c>
      <c r="C610" s="193"/>
      <c r="D610" s="283" t="s">
        <v>198</v>
      </c>
      <c r="E610" s="211" t="s">
        <v>198</v>
      </c>
      <c r="F610" s="252" t="s">
        <v>198</v>
      </c>
      <c r="G610" s="273" t="s">
        <v>198</v>
      </c>
      <c r="H610" s="234" t="s">
        <v>198</v>
      </c>
    </row>
    <row r="611" spans="1:8" ht="19.5" customHeight="1">
      <c r="A611" s="189"/>
      <c r="B611" s="187" t="s">
        <v>421</v>
      </c>
      <c r="C611" s="188"/>
      <c r="D611" s="198" t="s">
        <v>198</v>
      </c>
      <c r="E611" s="191" t="s">
        <v>198</v>
      </c>
      <c r="F611" s="195" t="s">
        <v>198</v>
      </c>
      <c r="G611" s="256" t="s">
        <v>198</v>
      </c>
      <c r="H611" s="228" t="s">
        <v>198</v>
      </c>
    </row>
    <row r="612" spans="1:8" ht="19.5" customHeight="1">
      <c r="A612" s="189"/>
      <c r="B612" s="192"/>
      <c r="C612" s="188" t="s">
        <v>426</v>
      </c>
      <c r="D612" s="254">
        <v>2</v>
      </c>
      <c r="E612" s="191" t="s">
        <v>190</v>
      </c>
      <c r="F612" s="195">
        <v>79.33</v>
      </c>
      <c r="G612" s="256">
        <f>D612*F612</f>
        <v>158.66</v>
      </c>
      <c r="H612" s="314" t="s">
        <v>374</v>
      </c>
    </row>
    <row r="613" spans="1:8" ht="19.5" customHeight="1">
      <c r="A613" s="189"/>
      <c r="B613" s="192"/>
      <c r="C613" s="188" t="s">
        <v>389</v>
      </c>
      <c r="D613" s="254">
        <v>0.48</v>
      </c>
      <c r="E613" s="191" t="s">
        <v>348</v>
      </c>
      <c r="F613" s="252">
        <v>400</v>
      </c>
      <c r="G613" s="256">
        <f>D613*F613</f>
        <v>192</v>
      </c>
      <c r="H613" s="314" t="s">
        <v>329</v>
      </c>
    </row>
    <row r="614" spans="1:8" ht="19.5" customHeight="1">
      <c r="A614" s="189"/>
      <c r="B614" s="192"/>
      <c r="C614" s="188" t="s">
        <v>350</v>
      </c>
      <c r="D614" s="198">
        <v>0.28</v>
      </c>
      <c r="E614" s="191" t="s">
        <v>201</v>
      </c>
      <c r="F614" s="313">
        <v>24.46</v>
      </c>
      <c r="G614" s="256">
        <f>D614*F614</f>
        <v>6.848800000000001</v>
      </c>
      <c r="H614" s="189"/>
    </row>
    <row r="615" spans="1:8" ht="19.5" customHeight="1">
      <c r="A615" s="265"/>
      <c r="B615" s="259"/>
      <c r="C615" s="188" t="s">
        <v>427</v>
      </c>
      <c r="D615" s="198">
        <v>2</v>
      </c>
      <c r="E615" s="191" t="s">
        <v>190</v>
      </c>
      <c r="F615" s="313">
        <v>5</v>
      </c>
      <c r="G615" s="256">
        <f>D615*F615</f>
        <v>10</v>
      </c>
      <c r="H615" s="265"/>
    </row>
    <row r="616" spans="1:8" ht="19.5" customHeight="1">
      <c r="A616" s="200"/>
      <c r="B616" s="201"/>
      <c r="C616" s="202" t="s">
        <v>432</v>
      </c>
      <c r="D616" s="203">
        <v>1</v>
      </c>
      <c r="E616" s="204" t="s">
        <v>190</v>
      </c>
      <c r="F616" s="205" t="s">
        <v>208</v>
      </c>
      <c r="G616" s="206">
        <f>SUM(G610:G615)</f>
        <v>367.50879999999995</v>
      </c>
      <c r="H616" s="207" t="s">
        <v>209</v>
      </c>
    </row>
    <row r="617" spans="1:8" ht="19.5" customHeight="1">
      <c r="A617" s="296">
        <v>9.45</v>
      </c>
      <c r="B617" s="284" t="s">
        <v>425</v>
      </c>
      <c r="C617" s="193"/>
      <c r="D617" s="283" t="s">
        <v>198</v>
      </c>
      <c r="E617" s="211" t="s">
        <v>198</v>
      </c>
      <c r="F617" s="252" t="s">
        <v>198</v>
      </c>
      <c r="G617" s="273" t="s">
        <v>198</v>
      </c>
      <c r="H617" s="234" t="s">
        <v>198</v>
      </c>
    </row>
    <row r="618" spans="1:8" ht="19.5" customHeight="1">
      <c r="A618" s="189"/>
      <c r="B618" s="187" t="s">
        <v>423</v>
      </c>
      <c r="C618" s="188"/>
      <c r="D618" s="189"/>
      <c r="E618" s="189"/>
      <c r="F618" s="195" t="s">
        <v>198</v>
      </c>
      <c r="G618" s="256" t="s">
        <v>198</v>
      </c>
      <c r="H618" s="228" t="s">
        <v>198</v>
      </c>
    </row>
    <row r="619" spans="1:8" ht="19.5" customHeight="1">
      <c r="A619" s="189"/>
      <c r="B619" s="192"/>
      <c r="C619" s="188" t="s">
        <v>426</v>
      </c>
      <c r="D619" s="254">
        <v>2</v>
      </c>
      <c r="E619" s="191" t="s">
        <v>190</v>
      </c>
      <c r="F619" s="195">
        <v>79.33</v>
      </c>
      <c r="G619" s="256">
        <f>D619*F619</f>
        <v>158.66</v>
      </c>
      <c r="H619" s="314" t="s">
        <v>374</v>
      </c>
    </row>
    <row r="620" spans="1:8" ht="19.5" customHeight="1">
      <c r="A620" s="189"/>
      <c r="B620" s="192"/>
      <c r="C620" s="188" t="s">
        <v>392</v>
      </c>
      <c r="D620" s="254">
        <v>0.48</v>
      </c>
      <c r="E620" s="191" t="s">
        <v>348</v>
      </c>
      <c r="F620" s="252">
        <v>838</v>
      </c>
      <c r="G620" s="256">
        <f>D620*F620</f>
        <v>402.24</v>
      </c>
      <c r="H620" s="314" t="s">
        <v>329</v>
      </c>
    </row>
    <row r="621" spans="1:8" ht="19.5" customHeight="1">
      <c r="A621" s="189"/>
      <c r="B621" s="192"/>
      <c r="C621" s="188" t="s">
        <v>350</v>
      </c>
      <c r="D621" s="198">
        <v>0.28</v>
      </c>
      <c r="E621" s="191" t="s">
        <v>201</v>
      </c>
      <c r="F621" s="313">
        <v>24.46</v>
      </c>
      <c r="G621" s="256">
        <f>D621*F621</f>
        <v>6.848800000000001</v>
      </c>
      <c r="H621" s="189"/>
    </row>
    <row r="622" spans="1:8" ht="19.5" customHeight="1">
      <c r="A622" s="265"/>
      <c r="B622" s="259"/>
      <c r="C622" s="188" t="s">
        <v>427</v>
      </c>
      <c r="D622" s="198">
        <v>2</v>
      </c>
      <c r="E622" s="191" t="s">
        <v>190</v>
      </c>
      <c r="F622" s="313">
        <v>5</v>
      </c>
      <c r="G622" s="256">
        <f>D622*F622</f>
        <v>10</v>
      </c>
      <c r="H622" s="265"/>
    </row>
    <row r="623" spans="1:8" ht="19.5" customHeight="1">
      <c r="A623" s="200"/>
      <c r="B623" s="201"/>
      <c r="C623" s="202" t="s">
        <v>432</v>
      </c>
      <c r="D623" s="203">
        <v>1</v>
      </c>
      <c r="E623" s="204" t="s">
        <v>190</v>
      </c>
      <c r="F623" s="205" t="s">
        <v>208</v>
      </c>
      <c r="G623" s="206">
        <f>SUM(G617:G622)</f>
        <v>577.7488</v>
      </c>
      <c r="H623" s="207" t="s">
        <v>209</v>
      </c>
    </row>
    <row r="624" spans="1:8" ht="20.25">
      <c r="A624" s="208">
        <v>9.46</v>
      </c>
      <c r="B624" s="284" t="s">
        <v>429</v>
      </c>
      <c r="C624" s="193"/>
      <c r="D624" s="283" t="s">
        <v>198</v>
      </c>
      <c r="E624" s="211" t="s">
        <v>198</v>
      </c>
      <c r="F624" s="252" t="s">
        <v>198</v>
      </c>
      <c r="G624" s="273" t="s">
        <v>198</v>
      </c>
      <c r="H624" s="234" t="s">
        <v>198</v>
      </c>
    </row>
    <row r="625" spans="1:8" ht="20.25">
      <c r="A625" s="189"/>
      <c r="B625" s="187" t="s">
        <v>421</v>
      </c>
      <c r="C625" s="188"/>
      <c r="D625" s="198" t="s">
        <v>198</v>
      </c>
      <c r="E625" s="191" t="s">
        <v>198</v>
      </c>
      <c r="F625" s="195" t="s">
        <v>198</v>
      </c>
      <c r="G625" s="256" t="s">
        <v>198</v>
      </c>
      <c r="H625" s="228" t="s">
        <v>198</v>
      </c>
    </row>
    <row r="626" spans="1:8" ht="19.5">
      <c r="A626" s="189"/>
      <c r="B626" s="192"/>
      <c r="C626" s="188" t="s">
        <v>430</v>
      </c>
      <c r="D626" s="254">
        <v>2</v>
      </c>
      <c r="E626" s="191" t="s">
        <v>190</v>
      </c>
      <c r="F626" s="195">
        <v>83.33</v>
      </c>
      <c r="G626" s="256">
        <f>D626*F626</f>
        <v>166.66</v>
      </c>
      <c r="H626" s="314" t="s">
        <v>374</v>
      </c>
    </row>
    <row r="627" spans="1:8" ht="19.5">
      <c r="A627" s="189"/>
      <c r="B627" s="192"/>
      <c r="C627" s="188" t="s">
        <v>389</v>
      </c>
      <c r="D627" s="254">
        <v>0.48</v>
      </c>
      <c r="E627" s="191" t="s">
        <v>348</v>
      </c>
      <c r="F627" s="252">
        <v>388</v>
      </c>
      <c r="G627" s="256">
        <f>D627*F627</f>
        <v>186.23999999999998</v>
      </c>
      <c r="H627" s="314" t="s">
        <v>329</v>
      </c>
    </row>
    <row r="628" spans="1:8" ht="19.5">
      <c r="A628" s="189"/>
      <c r="B628" s="192"/>
      <c r="C628" s="188" t="s">
        <v>350</v>
      </c>
      <c r="D628" s="198">
        <v>0.28</v>
      </c>
      <c r="E628" s="191" t="s">
        <v>201</v>
      </c>
      <c r="F628" s="313">
        <v>24.46</v>
      </c>
      <c r="G628" s="256">
        <f>D628*F628</f>
        <v>6.848800000000001</v>
      </c>
      <c r="H628" s="189"/>
    </row>
    <row r="629" spans="1:8" ht="19.5">
      <c r="A629" s="265"/>
      <c r="B629" s="259"/>
      <c r="C629" s="188" t="s">
        <v>427</v>
      </c>
      <c r="D629" s="198">
        <v>2</v>
      </c>
      <c r="E629" s="191" t="s">
        <v>190</v>
      </c>
      <c r="F629" s="313">
        <v>5</v>
      </c>
      <c r="G629" s="256">
        <f>D629*F629</f>
        <v>10</v>
      </c>
      <c r="H629" s="265"/>
    </row>
    <row r="630" spans="1:8" ht="20.25">
      <c r="A630" s="200"/>
      <c r="B630" s="201"/>
      <c r="C630" s="202" t="s">
        <v>433</v>
      </c>
      <c r="D630" s="203">
        <v>1</v>
      </c>
      <c r="E630" s="204" t="s">
        <v>190</v>
      </c>
      <c r="F630" s="205" t="s">
        <v>208</v>
      </c>
      <c r="G630" s="206">
        <f>SUM(G624:G629)</f>
        <v>369.74879999999996</v>
      </c>
      <c r="H630" s="207" t="s">
        <v>209</v>
      </c>
    </row>
    <row r="631" spans="1:8" ht="20.25">
      <c r="A631" s="296">
        <v>9.47</v>
      </c>
      <c r="B631" s="284" t="s">
        <v>429</v>
      </c>
      <c r="C631" s="193"/>
      <c r="D631" s="283" t="s">
        <v>198</v>
      </c>
      <c r="E631" s="211" t="s">
        <v>198</v>
      </c>
      <c r="F631" s="252" t="s">
        <v>198</v>
      </c>
      <c r="G631" s="273" t="s">
        <v>198</v>
      </c>
      <c r="H631" s="234" t="s">
        <v>198</v>
      </c>
    </row>
    <row r="632" spans="1:8" ht="20.25">
      <c r="A632" s="189"/>
      <c r="B632" s="187" t="s">
        <v>423</v>
      </c>
      <c r="C632" s="188"/>
      <c r="D632" s="189"/>
      <c r="E632" s="189"/>
      <c r="F632" s="195" t="s">
        <v>198</v>
      </c>
      <c r="G632" s="256" t="s">
        <v>198</v>
      </c>
      <c r="H632" s="228" t="s">
        <v>198</v>
      </c>
    </row>
    <row r="633" spans="1:8" ht="19.5">
      <c r="A633" s="189"/>
      <c r="B633" s="192"/>
      <c r="C633" s="188" t="s">
        <v>430</v>
      </c>
      <c r="D633" s="254">
        <v>2</v>
      </c>
      <c r="E633" s="191" t="s">
        <v>190</v>
      </c>
      <c r="F633" s="195">
        <v>83.33</v>
      </c>
      <c r="G633" s="256">
        <f>D633*F633</f>
        <v>166.66</v>
      </c>
      <c r="H633" s="314" t="s">
        <v>374</v>
      </c>
    </row>
    <row r="634" spans="1:8" ht="19.5">
      <c r="A634" s="189"/>
      <c r="B634" s="192"/>
      <c r="C634" s="188" t="s">
        <v>392</v>
      </c>
      <c r="D634" s="254">
        <v>0.48</v>
      </c>
      <c r="E634" s="191" t="s">
        <v>348</v>
      </c>
      <c r="F634" s="195">
        <v>838</v>
      </c>
      <c r="G634" s="256">
        <f>D634*F634</f>
        <v>402.24</v>
      </c>
      <c r="H634" s="314" t="s">
        <v>329</v>
      </c>
    </row>
    <row r="635" spans="1:8" ht="19.5">
      <c r="A635" s="209"/>
      <c r="B635" s="250"/>
      <c r="C635" s="193" t="s">
        <v>350</v>
      </c>
      <c r="D635" s="283">
        <v>0.28</v>
      </c>
      <c r="E635" s="211" t="s">
        <v>201</v>
      </c>
      <c r="F635" s="313">
        <v>24.46</v>
      </c>
      <c r="G635" s="273">
        <f>D635*F635</f>
        <v>6.848800000000001</v>
      </c>
      <c r="H635" s="209"/>
    </row>
    <row r="636" spans="1:8" ht="19.5">
      <c r="A636" s="265"/>
      <c r="B636" s="259"/>
      <c r="C636" s="188" t="s">
        <v>427</v>
      </c>
      <c r="D636" s="198">
        <v>2</v>
      </c>
      <c r="E636" s="191" t="s">
        <v>190</v>
      </c>
      <c r="F636" s="313">
        <v>5</v>
      </c>
      <c r="G636" s="256">
        <f>D636*F636</f>
        <v>10</v>
      </c>
      <c r="H636" s="265"/>
    </row>
    <row r="637" spans="1:8" ht="20.25">
      <c r="A637" s="200"/>
      <c r="B637" s="201"/>
      <c r="C637" s="202" t="s">
        <v>433</v>
      </c>
      <c r="D637" s="203">
        <v>1</v>
      </c>
      <c r="E637" s="204" t="s">
        <v>190</v>
      </c>
      <c r="F637" s="205" t="s">
        <v>208</v>
      </c>
      <c r="G637" s="206">
        <f>SUM(G631:G636)</f>
        <v>585.7488</v>
      </c>
      <c r="H637" s="207" t="s">
        <v>209</v>
      </c>
    </row>
    <row r="638" spans="1:8" ht="20.25">
      <c r="A638" s="296">
        <v>9.48</v>
      </c>
      <c r="B638" s="284" t="s">
        <v>434</v>
      </c>
      <c r="C638" s="193"/>
      <c r="D638" s="283" t="s">
        <v>198</v>
      </c>
      <c r="E638" s="211" t="s">
        <v>198</v>
      </c>
      <c r="F638" s="252" t="s">
        <v>198</v>
      </c>
      <c r="G638" s="273" t="s">
        <v>198</v>
      </c>
      <c r="H638" s="234" t="s">
        <v>198</v>
      </c>
    </row>
    <row r="639" spans="1:8" ht="20.25">
      <c r="A639" s="189"/>
      <c r="B639" s="187" t="s">
        <v>435</v>
      </c>
      <c r="C639" s="188"/>
      <c r="D639" s="189"/>
      <c r="E639" s="189"/>
      <c r="F639" s="195" t="s">
        <v>198</v>
      </c>
      <c r="G639" s="256" t="s">
        <v>198</v>
      </c>
      <c r="H639" s="228" t="s">
        <v>198</v>
      </c>
    </row>
    <row r="640" spans="1:8" ht="19.5">
      <c r="A640" s="189"/>
      <c r="B640" s="192"/>
      <c r="C640" s="188" t="s">
        <v>426</v>
      </c>
      <c r="D640" s="254">
        <v>2</v>
      </c>
      <c r="E640" s="191" t="s">
        <v>190</v>
      </c>
      <c r="F640" s="195">
        <v>190.4</v>
      </c>
      <c r="G640" s="256">
        <f>D640*F640</f>
        <v>380.8</v>
      </c>
      <c r="H640" s="314" t="s">
        <v>374</v>
      </c>
    </row>
    <row r="641" spans="1:8" ht="19.5">
      <c r="A641" s="189"/>
      <c r="B641" s="192"/>
      <c r="C641" s="188" t="s">
        <v>436</v>
      </c>
      <c r="D641" s="254">
        <v>1</v>
      </c>
      <c r="E641" s="191" t="s">
        <v>190</v>
      </c>
      <c r="F641" s="252">
        <v>170</v>
      </c>
      <c r="G641" s="256">
        <f>D641*F641</f>
        <v>170</v>
      </c>
      <c r="H641" s="189"/>
    </row>
    <row r="642" spans="1:8" ht="19.5">
      <c r="A642" s="189"/>
      <c r="B642" s="192"/>
      <c r="C642" s="188" t="s">
        <v>437</v>
      </c>
      <c r="D642" s="198">
        <v>0.11</v>
      </c>
      <c r="E642" s="191" t="s">
        <v>201</v>
      </c>
      <c r="F642" s="313">
        <v>25</v>
      </c>
      <c r="G642" s="256">
        <f>D642*F642</f>
        <v>2.75</v>
      </c>
      <c r="H642" s="189"/>
    </row>
    <row r="643" spans="1:8" ht="19.5">
      <c r="A643" s="265"/>
      <c r="B643" s="259"/>
      <c r="C643" s="188" t="s">
        <v>427</v>
      </c>
      <c r="D643" s="198">
        <v>2</v>
      </c>
      <c r="E643" s="191" t="s">
        <v>190</v>
      </c>
      <c r="F643" s="313">
        <v>5</v>
      </c>
      <c r="G643" s="256">
        <f>D643*F643</f>
        <v>10</v>
      </c>
      <c r="H643" s="265"/>
    </row>
    <row r="644" spans="1:8" ht="19.5">
      <c r="A644" s="265"/>
      <c r="B644" s="259"/>
      <c r="C644" s="188" t="s">
        <v>438</v>
      </c>
      <c r="D644" s="198">
        <v>1</v>
      </c>
      <c r="E644" s="191" t="s">
        <v>190</v>
      </c>
      <c r="F644" s="313">
        <v>100</v>
      </c>
      <c r="G644" s="256">
        <f>D644*F644</f>
        <v>100</v>
      </c>
      <c r="H644" s="265"/>
    </row>
    <row r="645" spans="1:8" ht="20.25">
      <c r="A645" s="200"/>
      <c r="B645" s="201"/>
      <c r="C645" s="202" t="s">
        <v>439</v>
      </c>
      <c r="D645" s="203">
        <v>1</v>
      </c>
      <c r="E645" s="204" t="s">
        <v>190</v>
      </c>
      <c r="F645" s="205" t="s">
        <v>208</v>
      </c>
      <c r="G645" s="206">
        <f>SUM(G638:G644)</f>
        <v>663.55</v>
      </c>
      <c r="H645" s="200" t="s">
        <v>440</v>
      </c>
    </row>
    <row r="646" spans="1:8" ht="20.25">
      <c r="A646" s="296">
        <v>9.49</v>
      </c>
      <c r="B646" s="284" t="s">
        <v>429</v>
      </c>
      <c r="C646" s="193"/>
      <c r="D646" s="283" t="s">
        <v>198</v>
      </c>
      <c r="E646" s="211" t="s">
        <v>198</v>
      </c>
      <c r="F646" s="252" t="s">
        <v>198</v>
      </c>
      <c r="G646" s="273" t="s">
        <v>198</v>
      </c>
      <c r="H646" s="234" t="s">
        <v>198</v>
      </c>
    </row>
    <row r="647" spans="1:8" ht="20.25">
      <c r="A647" s="189"/>
      <c r="B647" s="187" t="s">
        <v>435</v>
      </c>
      <c r="C647" s="188"/>
      <c r="D647" s="189"/>
      <c r="E647" s="189"/>
      <c r="F647" s="195" t="s">
        <v>198</v>
      </c>
      <c r="G647" s="256" t="s">
        <v>198</v>
      </c>
      <c r="H647" s="228" t="s">
        <v>198</v>
      </c>
    </row>
    <row r="648" spans="1:8" ht="19.5">
      <c r="A648" s="189"/>
      <c r="B648" s="192"/>
      <c r="C648" s="188" t="s">
        <v>430</v>
      </c>
      <c r="D648" s="254">
        <v>2</v>
      </c>
      <c r="E648" s="191" t="s">
        <v>190</v>
      </c>
      <c r="F648" s="195">
        <v>200</v>
      </c>
      <c r="G648" s="256">
        <f>D648*F648</f>
        <v>400</v>
      </c>
      <c r="H648" s="314" t="s">
        <v>374</v>
      </c>
    </row>
    <row r="649" spans="1:8" ht="19.5">
      <c r="A649" s="189"/>
      <c r="B649" s="192"/>
      <c r="C649" s="188" t="s">
        <v>436</v>
      </c>
      <c r="D649" s="254">
        <v>1</v>
      </c>
      <c r="E649" s="191" t="s">
        <v>190</v>
      </c>
      <c r="F649" s="252">
        <v>170</v>
      </c>
      <c r="G649" s="256">
        <f>D649*F649</f>
        <v>170</v>
      </c>
      <c r="H649" s="189"/>
    </row>
    <row r="650" spans="1:8" ht="19.5">
      <c r="A650" s="200"/>
      <c r="B650" s="201"/>
      <c r="C650" s="202" t="s">
        <v>437</v>
      </c>
      <c r="D650" s="318">
        <v>0.11</v>
      </c>
      <c r="E650" s="204" t="s">
        <v>201</v>
      </c>
      <c r="F650" s="319">
        <v>25</v>
      </c>
      <c r="G650" s="282">
        <f>D650*F650</f>
        <v>2.75</v>
      </c>
      <c r="H650" s="200"/>
    </row>
    <row r="651" spans="1:8" ht="19.5">
      <c r="A651" s="276"/>
      <c r="B651" s="320"/>
      <c r="C651" s="268" t="s">
        <v>427</v>
      </c>
      <c r="D651" s="321">
        <v>2</v>
      </c>
      <c r="E651" s="270" t="s">
        <v>190</v>
      </c>
      <c r="F651" s="322">
        <v>5</v>
      </c>
      <c r="G651" s="323">
        <f>D651*F651</f>
        <v>10</v>
      </c>
      <c r="H651" s="276"/>
    </row>
    <row r="652" spans="1:8" ht="19.5">
      <c r="A652" s="238"/>
      <c r="B652" s="299"/>
      <c r="C652" s="193" t="s">
        <v>438</v>
      </c>
      <c r="D652" s="283">
        <v>1</v>
      </c>
      <c r="E652" s="211" t="s">
        <v>190</v>
      </c>
      <c r="F652" s="313">
        <v>100</v>
      </c>
      <c r="G652" s="273">
        <f>D652*F652</f>
        <v>100</v>
      </c>
      <c r="H652" s="238"/>
    </row>
    <row r="653" spans="1:8" ht="20.25">
      <c r="A653" s="200"/>
      <c r="B653" s="201"/>
      <c r="C653" s="202" t="s">
        <v>441</v>
      </c>
      <c r="D653" s="203">
        <v>1</v>
      </c>
      <c r="E653" s="204" t="s">
        <v>190</v>
      </c>
      <c r="F653" s="205" t="s">
        <v>208</v>
      </c>
      <c r="G653" s="206">
        <f>SUM(G646:G652)</f>
        <v>682.75</v>
      </c>
      <c r="H653" s="200" t="s">
        <v>440</v>
      </c>
    </row>
    <row r="654" spans="1:8" ht="20.25">
      <c r="A654" s="296">
        <v>9.5</v>
      </c>
      <c r="B654" s="284" t="s">
        <v>442</v>
      </c>
      <c r="C654" s="193"/>
      <c r="D654" s="285"/>
      <c r="E654" s="211"/>
      <c r="F654" s="235"/>
      <c r="G654" s="324"/>
      <c r="H654" s="325"/>
    </row>
    <row r="655" spans="1:8" ht="20.25">
      <c r="A655" s="265"/>
      <c r="B655" s="326" t="s">
        <v>435</v>
      </c>
      <c r="C655" s="260"/>
      <c r="D655" s="265"/>
      <c r="E655" s="265"/>
      <c r="F655" s="263" t="s">
        <v>97</v>
      </c>
      <c r="G655" s="264">
        <v>849</v>
      </c>
      <c r="H655" s="265" t="s">
        <v>440</v>
      </c>
    </row>
    <row r="656" spans="1:8" ht="20.25">
      <c r="A656" s="200"/>
      <c r="B656" s="327"/>
      <c r="C656" s="202"/>
      <c r="D656" s="200"/>
      <c r="E656" s="200"/>
      <c r="F656" s="205"/>
      <c r="G656" s="206"/>
      <c r="H656" s="200"/>
    </row>
    <row r="657" spans="1:8" s="185" customFormat="1" ht="21" customHeight="1">
      <c r="A657" s="179">
        <v>10</v>
      </c>
      <c r="B657" s="180" t="s">
        <v>443</v>
      </c>
      <c r="C657" s="217"/>
      <c r="D657" s="182"/>
      <c r="E657" s="182"/>
      <c r="F657" s="183"/>
      <c r="G657" s="184" t="s">
        <v>198</v>
      </c>
      <c r="H657" s="182"/>
    </row>
    <row r="658" spans="1:8" ht="20.25">
      <c r="A658" s="208">
        <v>10.1</v>
      </c>
      <c r="B658" s="187" t="s">
        <v>716</v>
      </c>
      <c r="C658" s="188"/>
      <c r="D658" s="189"/>
      <c r="E658" s="189"/>
      <c r="F658" s="190"/>
      <c r="G658" s="191" t="s">
        <v>198</v>
      </c>
      <c r="H658" s="189"/>
    </row>
    <row r="659" spans="1:8" ht="19.5">
      <c r="A659" s="189"/>
      <c r="B659" s="192" t="s">
        <v>245</v>
      </c>
      <c r="C659" s="193"/>
      <c r="D659" s="198">
        <v>20.02</v>
      </c>
      <c r="E659" s="191" t="s">
        <v>201</v>
      </c>
      <c r="F659" s="195">
        <v>2.08</v>
      </c>
      <c r="G659" s="256">
        <f>D659*F659</f>
        <v>41.641600000000004</v>
      </c>
      <c r="H659" s="230" t="s">
        <v>198</v>
      </c>
    </row>
    <row r="660" spans="1:8" ht="19.5">
      <c r="A660" s="189"/>
      <c r="B660" s="192" t="s">
        <v>203</v>
      </c>
      <c r="C660" s="193"/>
      <c r="D660" s="254">
        <v>0.11</v>
      </c>
      <c r="E660" s="191" t="s">
        <v>189</v>
      </c>
      <c r="F660" s="195">
        <v>287.5</v>
      </c>
      <c r="G660" s="256">
        <f>D660*F660</f>
        <v>31.625</v>
      </c>
      <c r="H660" s="189"/>
    </row>
    <row r="661" spans="1:8" ht="19.5">
      <c r="A661" s="189"/>
      <c r="B661" s="192" t="s">
        <v>279</v>
      </c>
      <c r="C661" s="193"/>
      <c r="D661" s="194">
        <v>6</v>
      </c>
      <c r="E661" s="191" t="s">
        <v>206</v>
      </c>
      <c r="F661" s="199">
        <v>0.0144</v>
      </c>
      <c r="G661" s="256">
        <f>D661*F661</f>
        <v>0.0864</v>
      </c>
      <c r="H661" s="189"/>
    </row>
    <row r="662" spans="1:8" ht="20.25">
      <c r="A662" s="200"/>
      <c r="B662" s="201"/>
      <c r="C662" s="202" t="s">
        <v>444</v>
      </c>
      <c r="D662" s="203">
        <v>1</v>
      </c>
      <c r="E662" s="204" t="s">
        <v>190</v>
      </c>
      <c r="F662" s="205" t="s">
        <v>208</v>
      </c>
      <c r="G662" s="206">
        <f>SUM(G659:G661)</f>
        <v>73.35300000000001</v>
      </c>
      <c r="H662" s="207" t="s">
        <v>209</v>
      </c>
    </row>
    <row r="663" spans="1:8" ht="20.25">
      <c r="A663" s="208">
        <v>10.2</v>
      </c>
      <c r="B663" s="187" t="s">
        <v>717</v>
      </c>
      <c r="C663" s="188"/>
      <c r="D663" s="189"/>
      <c r="E663" s="189"/>
      <c r="F663" s="190"/>
      <c r="G663" s="191" t="s">
        <v>198</v>
      </c>
      <c r="H663" s="189"/>
    </row>
    <row r="664" spans="1:8" ht="19.5">
      <c r="A664" s="189"/>
      <c r="B664" s="192" t="s">
        <v>245</v>
      </c>
      <c r="C664" s="193"/>
      <c r="D664" s="198">
        <v>21.51</v>
      </c>
      <c r="E664" s="191" t="s">
        <v>201</v>
      </c>
      <c r="F664" s="195">
        <v>2.08</v>
      </c>
      <c r="G664" s="256">
        <f>D664*F664</f>
        <v>44.74080000000001</v>
      </c>
      <c r="H664" s="230" t="s">
        <v>198</v>
      </c>
    </row>
    <row r="665" spans="1:8" ht="19.5">
      <c r="A665" s="189"/>
      <c r="B665" s="192" t="s">
        <v>203</v>
      </c>
      <c r="C665" s="193"/>
      <c r="D665" s="254">
        <v>0.11</v>
      </c>
      <c r="E665" s="191" t="s">
        <v>189</v>
      </c>
      <c r="F665" s="195">
        <v>287.5</v>
      </c>
      <c r="G665" s="256">
        <f>D665*F665</f>
        <v>31.625</v>
      </c>
      <c r="H665" s="189"/>
    </row>
    <row r="666" spans="1:8" ht="19.5">
      <c r="A666" s="189"/>
      <c r="B666" s="192" t="s">
        <v>279</v>
      </c>
      <c r="C666" s="193"/>
      <c r="D666" s="194">
        <v>6</v>
      </c>
      <c r="E666" s="191" t="s">
        <v>206</v>
      </c>
      <c r="F666" s="199">
        <v>0.0144</v>
      </c>
      <c r="G666" s="256">
        <f>D666*F666</f>
        <v>0.0864</v>
      </c>
      <c r="H666" s="189"/>
    </row>
    <row r="667" spans="1:8" ht="20.25">
      <c r="A667" s="200"/>
      <c r="B667" s="201"/>
      <c r="C667" s="202" t="s">
        <v>445</v>
      </c>
      <c r="D667" s="203">
        <v>1</v>
      </c>
      <c r="E667" s="204" t="s">
        <v>190</v>
      </c>
      <c r="F667" s="205" t="s">
        <v>208</v>
      </c>
      <c r="G667" s="206">
        <f>SUM(G664:G666)</f>
        <v>76.4522</v>
      </c>
      <c r="H667" s="207" t="s">
        <v>209</v>
      </c>
    </row>
    <row r="668" spans="1:8" ht="20.25">
      <c r="A668" s="208">
        <v>10.3</v>
      </c>
      <c r="B668" s="187" t="s">
        <v>718</v>
      </c>
      <c r="C668" s="188"/>
      <c r="D668" s="189"/>
      <c r="E668" s="189"/>
      <c r="F668" s="190"/>
      <c r="G668" s="191" t="s">
        <v>198</v>
      </c>
      <c r="H668" s="189"/>
    </row>
    <row r="669" spans="1:8" ht="19.5">
      <c r="A669" s="189"/>
      <c r="B669" s="192" t="s">
        <v>245</v>
      </c>
      <c r="C669" s="193"/>
      <c r="D669" s="198">
        <v>21.51</v>
      </c>
      <c r="E669" s="191" t="s">
        <v>201</v>
      </c>
      <c r="F669" s="195">
        <v>2.08</v>
      </c>
      <c r="G669" s="256">
        <f>D669*F669</f>
        <v>44.74080000000001</v>
      </c>
      <c r="H669" s="230" t="s">
        <v>198</v>
      </c>
    </row>
    <row r="670" spans="1:8" ht="19.5">
      <c r="A670" s="189"/>
      <c r="B670" s="192" t="s">
        <v>203</v>
      </c>
      <c r="C670" s="193"/>
      <c r="D670" s="254">
        <v>0.11</v>
      </c>
      <c r="E670" s="191" t="s">
        <v>189</v>
      </c>
      <c r="F670" s="195">
        <v>287.5</v>
      </c>
      <c r="G670" s="256">
        <f>D670*F670</f>
        <v>31.625</v>
      </c>
      <c r="H670" s="189"/>
    </row>
    <row r="671" spans="1:8" ht="19.5">
      <c r="A671" s="189"/>
      <c r="B671" s="192" t="s">
        <v>446</v>
      </c>
      <c r="C671" s="188"/>
      <c r="D671" s="198">
        <v>0.25</v>
      </c>
      <c r="E671" s="191" t="s">
        <v>206</v>
      </c>
      <c r="F671" s="287">
        <v>25</v>
      </c>
      <c r="G671" s="256">
        <f>D671*F671</f>
        <v>6.25</v>
      </c>
      <c r="H671" s="189"/>
    </row>
    <row r="672" spans="1:8" ht="19.5">
      <c r="A672" s="209"/>
      <c r="B672" s="250" t="s">
        <v>279</v>
      </c>
      <c r="C672" s="193"/>
      <c r="D672" s="285">
        <v>6</v>
      </c>
      <c r="E672" s="211" t="s">
        <v>206</v>
      </c>
      <c r="F672" s="286">
        <v>0.0144</v>
      </c>
      <c r="G672" s="273">
        <f>D672*F672</f>
        <v>0.0864</v>
      </c>
      <c r="H672" s="209"/>
    </row>
    <row r="673" spans="1:8" ht="20.25">
      <c r="A673" s="200"/>
      <c r="B673" s="201"/>
      <c r="C673" s="202" t="s">
        <v>447</v>
      </c>
      <c r="D673" s="203">
        <v>1</v>
      </c>
      <c r="E673" s="204" t="s">
        <v>190</v>
      </c>
      <c r="F673" s="205" t="s">
        <v>208</v>
      </c>
      <c r="G673" s="206">
        <f>SUM(G669:G672)</f>
        <v>82.7022</v>
      </c>
      <c r="H673" s="207" t="s">
        <v>209</v>
      </c>
    </row>
    <row r="674" spans="1:8" ht="20.25">
      <c r="A674" s="208">
        <v>10.4</v>
      </c>
      <c r="B674" s="284" t="s">
        <v>719</v>
      </c>
      <c r="C674" s="193"/>
      <c r="D674" s="209"/>
      <c r="E674" s="209"/>
      <c r="F674" s="210"/>
      <c r="G674" s="211" t="s">
        <v>198</v>
      </c>
      <c r="H674" s="209"/>
    </row>
    <row r="675" spans="1:8" ht="19.5">
      <c r="A675" s="189"/>
      <c r="B675" s="192" t="s">
        <v>245</v>
      </c>
      <c r="C675" s="193"/>
      <c r="D675" s="198">
        <v>20.02</v>
      </c>
      <c r="E675" s="191" t="s">
        <v>201</v>
      </c>
      <c r="F675" s="195">
        <v>2.08</v>
      </c>
      <c r="G675" s="256">
        <f aca="true" t="shared" si="17" ref="G675:G680">D675*F675</f>
        <v>41.641600000000004</v>
      </c>
      <c r="H675" s="230" t="s">
        <v>198</v>
      </c>
    </row>
    <row r="676" spans="1:8" ht="19.5">
      <c r="A676" s="189"/>
      <c r="B676" s="192" t="s">
        <v>286</v>
      </c>
      <c r="C676" s="193"/>
      <c r="D676" s="254">
        <v>8.42</v>
      </c>
      <c r="E676" s="191" t="s">
        <v>201</v>
      </c>
      <c r="F676" s="195">
        <v>5.47</v>
      </c>
      <c r="G676" s="256">
        <f t="shared" si="17"/>
        <v>46.057399999999994</v>
      </c>
      <c r="H676" s="197" t="s">
        <v>198</v>
      </c>
    </row>
    <row r="677" spans="1:8" ht="19.5">
      <c r="A677" s="189"/>
      <c r="B677" s="192" t="s">
        <v>287</v>
      </c>
      <c r="C677" s="193"/>
      <c r="D677" s="254">
        <v>28.03</v>
      </c>
      <c r="E677" s="191" t="s">
        <v>201</v>
      </c>
      <c r="F677" s="195">
        <v>2.8</v>
      </c>
      <c r="G677" s="256">
        <f t="shared" si="17"/>
        <v>78.484</v>
      </c>
      <c r="H677" s="189"/>
    </row>
    <row r="678" spans="1:8" ht="19.5">
      <c r="A678" s="209"/>
      <c r="B678" s="192" t="s">
        <v>288</v>
      </c>
      <c r="C678" s="193"/>
      <c r="D678" s="254">
        <v>0.5</v>
      </c>
      <c r="E678" s="191" t="s">
        <v>201</v>
      </c>
      <c r="F678" s="252">
        <v>65</v>
      </c>
      <c r="G678" s="256">
        <f t="shared" si="17"/>
        <v>32.5</v>
      </c>
      <c r="H678" s="209"/>
    </row>
    <row r="679" spans="1:8" ht="19.5">
      <c r="A679" s="209"/>
      <c r="B679" s="192" t="s">
        <v>203</v>
      </c>
      <c r="C679" s="193"/>
      <c r="D679" s="254">
        <v>0.11</v>
      </c>
      <c r="E679" s="191" t="s">
        <v>189</v>
      </c>
      <c r="F679" s="195">
        <v>287.5</v>
      </c>
      <c r="G679" s="256">
        <f t="shared" si="17"/>
        <v>31.625</v>
      </c>
      <c r="H679" s="209"/>
    </row>
    <row r="680" spans="1:8" ht="19.5">
      <c r="A680" s="209"/>
      <c r="B680" s="192" t="s">
        <v>279</v>
      </c>
      <c r="C680" s="193"/>
      <c r="D680" s="194">
        <v>10</v>
      </c>
      <c r="E680" s="191" t="s">
        <v>206</v>
      </c>
      <c r="F680" s="199">
        <v>0.0144</v>
      </c>
      <c r="G680" s="256">
        <f t="shared" si="17"/>
        <v>0.144</v>
      </c>
      <c r="H680" s="209"/>
    </row>
    <row r="681" spans="1:8" ht="20.25">
      <c r="A681" s="200"/>
      <c r="B681" s="201"/>
      <c r="C681" s="202" t="s">
        <v>448</v>
      </c>
      <c r="D681" s="203">
        <v>1</v>
      </c>
      <c r="E681" s="204" t="s">
        <v>190</v>
      </c>
      <c r="F681" s="205" t="s">
        <v>208</v>
      </c>
      <c r="G681" s="206">
        <f>SUM(G675:G680)</f>
        <v>230.452</v>
      </c>
      <c r="H681" s="207" t="s">
        <v>209</v>
      </c>
    </row>
    <row r="682" spans="1:8" ht="20.25">
      <c r="A682" s="208">
        <v>10.5</v>
      </c>
      <c r="B682" s="284" t="s">
        <v>720</v>
      </c>
      <c r="C682" s="193"/>
      <c r="D682" s="209"/>
      <c r="E682" s="209"/>
      <c r="F682" s="210"/>
      <c r="G682" s="211" t="s">
        <v>198</v>
      </c>
      <c r="H682" s="209"/>
    </row>
    <row r="683" spans="1:8" ht="19.5">
      <c r="A683" s="189"/>
      <c r="B683" s="192" t="s">
        <v>245</v>
      </c>
      <c r="C683" s="193"/>
      <c r="D683" s="198">
        <v>20.02</v>
      </c>
      <c r="E683" s="191" t="s">
        <v>201</v>
      </c>
      <c r="F683" s="195">
        <v>2.08</v>
      </c>
      <c r="G683" s="256">
        <f aca="true" t="shared" si="18" ref="G683:G688">D683*F683</f>
        <v>41.641600000000004</v>
      </c>
      <c r="H683" s="230" t="s">
        <v>198</v>
      </c>
    </row>
    <row r="684" spans="1:8" ht="19.5">
      <c r="A684" s="189"/>
      <c r="B684" s="192" t="s">
        <v>286</v>
      </c>
      <c r="C684" s="193"/>
      <c r="D684" s="254">
        <v>8.42</v>
      </c>
      <c r="E684" s="191" t="s">
        <v>201</v>
      </c>
      <c r="F684" s="195">
        <v>5.47</v>
      </c>
      <c r="G684" s="256">
        <f t="shared" si="18"/>
        <v>46.057399999999994</v>
      </c>
      <c r="H684" s="197" t="s">
        <v>198</v>
      </c>
    </row>
    <row r="685" spans="1:8" ht="19.5">
      <c r="A685" s="189"/>
      <c r="B685" s="192" t="s">
        <v>290</v>
      </c>
      <c r="C685" s="193"/>
      <c r="D685" s="254">
        <v>22</v>
      </c>
      <c r="E685" s="191" t="s">
        <v>201</v>
      </c>
      <c r="F685" s="195">
        <v>2.2</v>
      </c>
      <c r="G685" s="256">
        <f t="shared" si="18"/>
        <v>48.400000000000006</v>
      </c>
      <c r="H685" s="189"/>
    </row>
    <row r="686" spans="1:8" ht="19.5">
      <c r="A686" s="209"/>
      <c r="B686" s="192" t="s">
        <v>288</v>
      </c>
      <c r="C686" s="193"/>
      <c r="D686" s="254">
        <v>0.5</v>
      </c>
      <c r="E686" s="191" t="s">
        <v>201</v>
      </c>
      <c r="F686" s="252">
        <v>65</v>
      </c>
      <c r="G686" s="256">
        <f t="shared" si="18"/>
        <v>32.5</v>
      </c>
      <c r="H686" s="209"/>
    </row>
    <row r="687" spans="1:8" ht="19.5">
      <c r="A687" s="209"/>
      <c r="B687" s="192" t="s">
        <v>203</v>
      </c>
      <c r="C687" s="193"/>
      <c r="D687" s="254">
        <v>0.11</v>
      </c>
      <c r="E687" s="191" t="s">
        <v>189</v>
      </c>
      <c r="F687" s="195">
        <v>287.5</v>
      </c>
      <c r="G687" s="256">
        <f t="shared" si="18"/>
        <v>31.625</v>
      </c>
      <c r="H687" s="209"/>
    </row>
    <row r="688" spans="1:8" ht="19.5">
      <c r="A688" s="209"/>
      <c r="B688" s="192" t="s">
        <v>279</v>
      </c>
      <c r="C688" s="193"/>
      <c r="D688" s="194">
        <v>10</v>
      </c>
      <c r="E688" s="191" t="s">
        <v>206</v>
      </c>
      <c r="F688" s="199">
        <v>0.0144</v>
      </c>
      <c r="G688" s="256">
        <f t="shared" si="18"/>
        <v>0.144</v>
      </c>
      <c r="H688" s="209"/>
    </row>
    <row r="689" spans="1:8" ht="20.25">
      <c r="A689" s="265"/>
      <c r="B689" s="259"/>
      <c r="C689" s="260" t="s">
        <v>449</v>
      </c>
      <c r="D689" s="261">
        <v>1</v>
      </c>
      <c r="E689" s="262" t="s">
        <v>190</v>
      </c>
      <c r="F689" s="263" t="s">
        <v>208</v>
      </c>
      <c r="G689" s="264">
        <f>SUM(G683:G688)</f>
        <v>200.368</v>
      </c>
      <c r="H689" s="274" t="s">
        <v>209</v>
      </c>
    </row>
    <row r="690" spans="1:8" ht="20.25">
      <c r="A690" s="200"/>
      <c r="B690" s="201"/>
      <c r="C690" s="202"/>
      <c r="D690" s="203"/>
      <c r="E690" s="204"/>
      <c r="F690" s="205"/>
      <c r="G690" s="206"/>
      <c r="H690" s="207"/>
    </row>
    <row r="691" spans="1:8" ht="19.5" customHeight="1">
      <c r="A691" s="208">
        <v>10.6</v>
      </c>
      <c r="B691" s="284" t="s">
        <v>721</v>
      </c>
      <c r="C691" s="193"/>
      <c r="D691" s="209"/>
      <c r="E691" s="209"/>
      <c r="F691" s="210"/>
      <c r="G691" s="211" t="s">
        <v>198</v>
      </c>
      <c r="H691" s="209"/>
    </row>
    <row r="692" spans="1:8" ht="19.5" customHeight="1">
      <c r="A692" s="189"/>
      <c r="B692" s="192" t="s">
        <v>245</v>
      </c>
      <c r="C692" s="193"/>
      <c r="D692" s="198">
        <v>20.02</v>
      </c>
      <c r="E692" s="191" t="s">
        <v>201</v>
      </c>
      <c r="F692" s="195">
        <v>2.08</v>
      </c>
      <c r="G692" s="256">
        <f aca="true" t="shared" si="19" ref="G692:G698">D692*F692</f>
        <v>41.641600000000004</v>
      </c>
      <c r="H692" s="230" t="s">
        <v>198</v>
      </c>
    </row>
    <row r="693" spans="1:8" ht="19.5" customHeight="1">
      <c r="A693" s="189"/>
      <c r="B693" s="192" t="s">
        <v>286</v>
      </c>
      <c r="C693" s="188"/>
      <c r="D693" s="254">
        <v>8.42</v>
      </c>
      <c r="E693" s="191" t="s">
        <v>201</v>
      </c>
      <c r="F693" s="195">
        <v>5.47</v>
      </c>
      <c r="G693" s="256">
        <f t="shared" si="19"/>
        <v>46.057399999999994</v>
      </c>
      <c r="H693" s="197" t="s">
        <v>198</v>
      </c>
    </row>
    <row r="694" spans="1:8" ht="19.5" customHeight="1">
      <c r="A694" s="209"/>
      <c r="B694" s="250" t="s">
        <v>450</v>
      </c>
      <c r="C694" s="193"/>
      <c r="D694" s="251">
        <v>25.96</v>
      </c>
      <c r="E694" s="211" t="s">
        <v>201</v>
      </c>
      <c r="F694" s="252">
        <v>2.8</v>
      </c>
      <c r="G694" s="273">
        <f t="shared" si="19"/>
        <v>72.688</v>
      </c>
      <c r="H694" s="209"/>
    </row>
    <row r="695" spans="1:8" ht="19.5" customHeight="1">
      <c r="A695" s="209"/>
      <c r="B695" s="192" t="s">
        <v>288</v>
      </c>
      <c r="C695" s="193"/>
      <c r="D695" s="254">
        <v>0.5</v>
      </c>
      <c r="E695" s="191" t="s">
        <v>201</v>
      </c>
      <c r="F695" s="252">
        <v>65</v>
      </c>
      <c r="G695" s="256">
        <f t="shared" si="19"/>
        <v>32.5</v>
      </c>
      <c r="H695" s="209"/>
    </row>
    <row r="696" spans="1:8" ht="19.5" customHeight="1">
      <c r="A696" s="209"/>
      <c r="B696" s="192" t="s">
        <v>203</v>
      </c>
      <c r="C696" s="193"/>
      <c r="D696" s="254">
        <v>0.11</v>
      </c>
      <c r="E696" s="191" t="s">
        <v>189</v>
      </c>
      <c r="F696" s="195">
        <v>287.5</v>
      </c>
      <c r="G696" s="256">
        <f t="shared" si="19"/>
        <v>31.625</v>
      </c>
      <c r="H696" s="209"/>
    </row>
    <row r="697" spans="1:8" ht="19.5" customHeight="1">
      <c r="A697" s="209"/>
      <c r="B697" s="192" t="s">
        <v>279</v>
      </c>
      <c r="C697" s="193"/>
      <c r="D697" s="194">
        <v>10</v>
      </c>
      <c r="E697" s="191" t="s">
        <v>206</v>
      </c>
      <c r="F697" s="199">
        <v>0.0144</v>
      </c>
      <c r="G697" s="256">
        <f t="shared" si="19"/>
        <v>0.144</v>
      </c>
      <c r="H697" s="209"/>
    </row>
    <row r="698" spans="1:8" ht="19.5" customHeight="1">
      <c r="A698" s="189"/>
      <c r="B698" s="192" t="s">
        <v>331</v>
      </c>
      <c r="C698" s="193"/>
      <c r="D698" s="198">
        <v>0.02</v>
      </c>
      <c r="E698" s="191" t="s">
        <v>201</v>
      </c>
      <c r="F698" s="195">
        <v>150</v>
      </c>
      <c r="G698" s="256">
        <f t="shared" si="19"/>
        <v>3</v>
      </c>
      <c r="H698" s="189"/>
    </row>
    <row r="699" spans="1:8" ht="19.5" customHeight="1">
      <c r="A699" s="200"/>
      <c r="B699" s="201"/>
      <c r="C699" s="202" t="s">
        <v>451</v>
      </c>
      <c r="D699" s="203">
        <v>1</v>
      </c>
      <c r="E699" s="204" t="s">
        <v>190</v>
      </c>
      <c r="F699" s="205" t="s">
        <v>208</v>
      </c>
      <c r="G699" s="206">
        <f>SUM(G692:G698)</f>
        <v>227.656</v>
      </c>
      <c r="H699" s="207" t="s">
        <v>209</v>
      </c>
    </row>
    <row r="700" spans="1:8" ht="19.5" customHeight="1">
      <c r="A700" s="208">
        <v>10.7</v>
      </c>
      <c r="B700" s="284" t="s">
        <v>722</v>
      </c>
      <c r="C700" s="193"/>
      <c r="D700" s="209"/>
      <c r="E700" s="209"/>
      <c r="F700" s="210"/>
      <c r="G700" s="211" t="s">
        <v>198</v>
      </c>
      <c r="H700" s="209"/>
    </row>
    <row r="701" spans="1:8" ht="19.5" customHeight="1">
      <c r="A701" s="189"/>
      <c r="B701" s="192" t="s">
        <v>245</v>
      </c>
      <c r="C701" s="193"/>
      <c r="D701" s="198">
        <v>20.02</v>
      </c>
      <c r="E701" s="191" t="s">
        <v>201</v>
      </c>
      <c r="F701" s="195">
        <v>2.08</v>
      </c>
      <c r="G701" s="256">
        <f aca="true" t="shared" si="20" ref="G701:G708">D701*F701</f>
        <v>41.641600000000004</v>
      </c>
      <c r="H701" s="230" t="s">
        <v>198</v>
      </c>
    </row>
    <row r="702" spans="1:8" ht="19.5" customHeight="1">
      <c r="A702" s="189"/>
      <c r="B702" s="192" t="s">
        <v>286</v>
      </c>
      <c r="C702" s="193"/>
      <c r="D702" s="254">
        <v>8.42</v>
      </c>
      <c r="E702" s="191" t="s">
        <v>201</v>
      </c>
      <c r="F702" s="195">
        <v>5.47</v>
      </c>
      <c r="G702" s="256">
        <f t="shared" si="20"/>
        <v>46.057399999999994</v>
      </c>
      <c r="H702" s="197" t="s">
        <v>198</v>
      </c>
    </row>
    <row r="703" spans="1:8" ht="19.5" customHeight="1">
      <c r="A703" s="189"/>
      <c r="B703" s="192" t="s">
        <v>452</v>
      </c>
      <c r="C703" s="193"/>
      <c r="D703" s="254">
        <v>25.96</v>
      </c>
      <c r="E703" s="191" t="s">
        <v>201</v>
      </c>
      <c r="F703" s="195">
        <v>2.8</v>
      </c>
      <c r="G703" s="256">
        <f t="shared" si="20"/>
        <v>72.688</v>
      </c>
      <c r="H703" s="189"/>
    </row>
    <row r="704" spans="1:8" ht="19.5" customHeight="1">
      <c r="A704" s="209"/>
      <c r="B704" s="192" t="s">
        <v>288</v>
      </c>
      <c r="C704" s="193"/>
      <c r="D704" s="254">
        <v>0.5</v>
      </c>
      <c r="E704" s="191" t="s">
        <v>201</v>
      </c>
      <c r="F704" s="252">
        <v>65</v>
      </c>
      <c r="G704" s="256">
        <f t="shared" si="20"/>
        <v>32.5</v>
      </c>
      <c r="H704" s="209"/>
    </row>
    <row r="705" spans="1:8" ht="19.5" customHeight="1">
      <c r="A705" s="209"/>
      <c r="B705" s="192" t="s">
        <v>203</v>
      </c>
      <c r="C705" s="193"/>
      <c r="D705" s="254">
        <v>0.11</v>
      </c>
      <c r="E705" s="191" t="s">
        <v>189</v>
      </c>
      <c r="F705" s="195">
        <v>287.5</v>
      </c>
      <c r="G705" s="256">
        <f t="shared" si="20"/>
        <v>31.625</v>
      </c>
      <c r="H705" s="209"/>
    </row>
    <row r="706" spans="1:8" ht="19.5" customHeight="1">
      <c r="A706" s="209"/>
      <c r="B706" s="192" t="s">
        <v>279</v>
      </c>
      <c r="C706" s="193"/>
      <c r="D706" s="194">
        <v>10</v>
      </c>
      <c r="E706" s="191" t="s">
        <v>206</v>
      </c>
      <c r="F706" s="199">
        <v>0.0144</v>
      </c>
      <c r="G706" s="256">
        <f t="shared" si="20"/>
        <v>0.144</v>
      </c>
      <c r="H706" s="209"/>
    </row>
    <row r="707" spans="1:8" ht="19.5" customHeight="1">
      <c r="A707" s="209"/>
      <c r="B707" s="192" t="s">
        <v>453</v>
      </c>
      <c r="C707" s="193"/>
      <c r="D707" s="198">
        <v>1.5</v>
      </c>
      <c r="E707" s="191" t="s">
        <v>192</v>
      </c>
      <c r="F707" s="313">
        <v>20</v>
      </c>
      <c r="G707" s="256">
        <f t="shared" si="20"/>
        <v>30</v>
      </c>
      <c r="H707" s="209"/>
    </row>
    <row r="708" spans="1:8" ht="19.5" customHeight="1">
      <c r="A708" s="189"/>
      <c r="B708" s="192" t="s">
        <v>331</v>
      </c>
      <c r="C708" s="193"/>
      <c r="D708" s="198">
        <v>0.02</v>
      </c>
      <c r="E708" s="191" t="s">
        <v>201</v>
      </c>
      <c r="F708" s="195">
        <v>150</v>
      </c>
      <c r="G708" s="256">
        <f t="shared" si="20"/>
        <v>3</v>
      </c>
      <c r="H708" s="189"/>
    </row>
    <row r="709" spans="1:8" ht="19.5" customHeight="1">
      <c r="A709" s="200"/>
      <c r="B709" s="201"/>
      <c r="C709" s="328" t="s">
        <v>454</v>
      </c>
      <c r="D709" s="203">
        <v>1</v>
      </c>
      <c r="E709" s="204" t="s">
        <v>190</v>
      </c>
      <c r="F709" s="205" t="s">
        <v>208</v>
      </c>
      <c r="G709" s="206">
        <f>SUM(G701:G708)</f>
        <v>257.656</v>
      </c>
      <c r="H709" s="207" t="s">
        <v>209</v>
      </c>
    </row>
    <row r="710" spans="1:8" ht="19.5" customHeight="1">
      <c r="A710" s="208">
        <v>10.8</v>
      </c>
      <c r="B710" s="187" t="s">
        <v>455</v>
      </c>
      <c r="C710" s="188"/>
      <c r="D710" s="189"/>
      <c r="E710" s="189"/>
      <c r="F710" s="190"/>
      <c r="G710" s="191" t="s">
        <v>198</v>
      </c>
      <c r="H710" s="189"/>
    </row>
    <row r="711" spans="1:8" ht="19.5" customHeight="1">
      <c r="A711" s="189"/>
      <c r="B711" s="192" t="s">
        <v>456</v>
      </c>
      <c r="C711" s="188"/>
      <c r="D711" s="194">
        <v>105</v>
      </c>
      <c r="E711" s="191" t="s">
        <v>294</v>
      </c>
      <c r="F711" s="195">
        <v>1.5</v>
      </c>
      <c r="G711" s="256">
        <f aca="true" t="shared" si="21" ref="G711:G716">D711*F711</f>
        <v>157.5</v>
      </c>
      <c r="H711" s="189"/>
    </row>
    <row r="712" spans="1:8" ht="19.5" customHeight="1">
      <c r="A712" s="209"/>
      <c r="B712" s="250" t="s">
        <v>245</v>
      </c>
      <c r="C712" s="193"/>
      <c r="D712" s="283">
        <v>21.51</v>
      </c>
      <c r="E712" s="211" t="s">
        <v>201</v>
      </c>
      <c r="F712" s="252">
        <v>2.08</v>
      </c>
      <c r="G712" s="273">
        <f t="shared" si="21"/>
        <v>44.74080000000001</v>
      </c>
      <c r="H712" s="225" t="s">
        <v>198</v>
      </c>
    </row>
    <row r="713" spans="1:8" ht="19.5" customHeight="1">
      <c r="A713" s="189"/>
      <c r="B713" s="192" t="s">
        <v>303</v>
      </c>
      <c r="C713" s="193"/>
      <c r="D713" s="254">
        <v>0.25</v>
      </c>
      <c r="E713" s="191" t="s">
        <v>201</v>
      </c>
      <c r="F713" s="195">
        <v>5.47</v>
      </c>
      <c r="G713" s="256">
        <f t="shared" si="21"/>
        <v>1.3675</v>
      </c>
      <c r="H713" s="189"/>
    </row>
    <row r="714" spans="1:8" ht="19.5" customHeight="1">
      <c r="A714" s="189"/>
      <c r="B714" s="192" t="s">
        <v>203</v>
      </c>
      <c r="C714" s="193"/>
      <c r="D714" s="254">
        <v>0.11</v>
      </c>
      <c r="E714" s="191" t="s">
        <v>189</v>
      </c>
      <c r="F714" s="195">
        <v>287.5</v>
      </c>
      <c r="G714" s="256">
        <f t="shared" si="21"/>
        <v>31.625</v>
      </c>
      <c r="H714" s="189"/>
    </row>
    <row r="715" spans="1:8" ht="19.5" customHeight="1">
      <c r="A715" s="189"/>
      <c r="B715" s="192" t="s">
        <v>279</v>
      </c>
      <c r="C715" s="193"/>
      <c r="D715" s="194">
        <v>10</v>
      </c>
      <c r="E715" s="191" t="s">
        <v>206</v>
      </c>
      <c r="F715" s="199">
        <v>0.0144</v>
      </c>
      <c r="G715" s="256">
        <f t="shared" si="21"/>
        <v>0.144</v>
      </c>
      <c r="H715" s="189"/>
    </row>
    <row r="716" spans="1:8" ht="19.5" customHeight="1">
      <c r="A716" s="189"/>
      <c r="B716" s="192" t="s">
        <v>331</v>
      </c>
      <c r="C716" s="193"/>
      <c r="D716" s="198">
        <v>0.02</v>
      </c>
      <c r="E716" s="191" t="s">
        <v>201</v>
      </c>
      <c r="F716" s="195">
        <v>150</v>
      </c>
      <c r="G716" s="256">
        <f t="shared" si="21"/>
        <v>3</v>
      </c>
      <c r="H716" s="189"/>
    </row>
    <row r="717" spans="1:8" ht="19.5" customHeight="1">
      <c r="A717" s="288"/>
      <c r="B717" s="289"/>
      <c r="C717" s="290" t="s">
        <v>457</v>
      </c>
      <c r="D717" s="291">
        <v>1</v>
      </c>
      <c r="E717" s="292" t="s">
        <v>190</v>
      </c>
      <c r="F717" s="293" t="s">
        <v>208</v>
      </c>
      <c r="G717" s="294">
        <f>SUM(G711:G716)</f>
        <v>238.37730000000002</v>
      </c>
      <c r="H717" s="295" t="s">
        <v>209</v>
      </c>
    </row>
    <row r="718" spans="1:8" ht="19.5" customHeight="1">
      <c r="A718" s="208">
        <v>10.9</v>
      </c>
      <c r="B718" s="187" t="s">
        <v>458</v>
      </c>
      <c r="C718" s="188"/>
      <c r="D718" s="189"/>
      <c r="E718" s="189"/>
      <c r="F718" s="190"/>
      <c r="G718" s="191" t="s">
        <v>198</v>
      </c>
      <c r="H718" s="189"/>
    </row>
    <row r="719" spans="1:8" ht="19.5" customHeight="1">
      <c r="A719" s="189"/>
      <c r="B719" s="192" t="s">
        <v>459</v>
      </c>
      <c r="C719" s="193"/>
      <c r="D719" s="194">
        <v>105</v>
      </c>
      <c r="E719" s="191" t="s">
        <v>294</v>
      </c>
      <c r="F719" s="195">
        <v>1.8</v>
      </c>
      <c r="G719" s="256">
        <f aca="true" t="shared" si="22" ref="G719:G724">D719*F719</f>
        <v>189</v>
      </c>
      <c r="H719" s="189"/>
    </row>
    <row r="720" spans="1:8" ht="19.5" customHeight="1">
      <c r="A720" s="189"/>
      <c r="B720" s="192" t="s">
        <v>245</v>
      </c>
      <c r="C720" s="193"/>
      <c r="D720" s="198">
        <v>21.51</v>
      </c>
      <c r="E720" s="191" t="s">
        <v>201</v>
      </c>
      <c r="F720" s="195">
        <v>2.08</v>
      </c>
      <c r="G720" s="256">
        <f t="shared" si="22"/>
        <v>44.74080000000001</v>
      </c>
      <c r="H720" s="230" t="s">
        <v>198</v>
      </c>
    </row>
    <row r="721" spans="1:8" ht="19.5" customHeight="1">
      <c r="A721" s="189"/>
      <c r="B721" s="192" t="s">
        <v>303</v>
      </c>
      <c r="C721" s="193"/>
      <c r="D721" s="254">
        <v>0.25</v>
      </c>
      <c r="E721" s="191" t="s">
        <v>201</v>
      </c>
      <c r="F721" s="195">
        <v>5.47</v>
      </c>
      <c r="G721" s="256">
        <f t="shared" si="22"/>
        <v>1.3675</v>
      </c>
      <c r="H721" s="189"/>
    </row>
    <row r="722" spans="1:8" ht="19.5" customHeight="1">
      <c r="A722" s="189"/>
      <c r="B722" s="192" t="s">
        <v>203</v>
      </c>
      <c r="C722" s="193"/>
      <c r="D722" s="254">
        <v>0.11</v>
      </c>
      <c r="E722" s="191" t="s">
        <v>189</v>
      </c>
      <c r="F722" s="195">
        <v>287.5</v>
      </c>
      <c r="G722" s="256">
        <f t="shared" si="22"/>
        <v>31.625</v>
      </c>
      <c r="H722" s="189"/>
    </row>
    <row r="723" spans="1:8" ht="19.5" customHeight="1">
      <c r="A723" s="189"/>
      <c r="B723" s="192" t="s">
        <v>279</v>
      </c>
      <c r="C723" s="193"/>
      <c r="D723" s="194">
        <v>10</v>
      </c>
      <c r="E723" s="191" t="s">
        <v>206</v>
      </c>
      <c r="F723" s="199">
        <v>0.0144</v>
      </c>
      <c r="G723" s="256">
        <f t="shared" si="22"/>
        <v>0.144</v>
      </c>
      <c r="H723" s="189"/>
    </row>
    <row r="724" spans="1:8" ht="19.5" customHeight="1">
      <c r="A724" s="189"/>
      <c r="B724" s="192" t="s">
        <v>331</v>
      </c>
      <c r="C724" s="193"/>
      <c r="D724" s="198">
        <v>0.02</v>
      </c>
      <c r="E724" s="191" t="s">
        <v>201</v>
      </c>
      <c r="F724" s="195">
        <v>150</v>
      </c>
      <c r="G724" s="256">
        <f t="shared" si="22"/>
        <v>3</v>
      </c>
      <c r="H724" s="189"/>
    </row>
    <row r="725" spans="1:8" ht="19.5" customHeight="1">
      <c r="A725" s="200"/>
      <c r="B725" s="201"/>
      <c r="C725" s="202" t="s">
        <v>460</v>
      </c>
      <c r="D725" s="203">
        <v>1</v>
      </c>
      <c r="E725" s="204" t="s">
        <v>190</v>
      </c>
      <c r="F725" s="205" t="s">
        <v>208</v>
      </c>
      <c r="G725" s="206">
        <f>SUM(G719:G724)</f>
        <v>269.8773</v>
      </c>
      <c r="H725" s="207" t="s">
        <v>209</v>
      </c>
    </row>
    <row r="726" spans="1:8" ht="20.25">
      <c r="A726" s="296">
        <v>10.1</v>
      </c>
      <c r="B726" s="284" t="s">
        <v>461</v>
      </c>
      <c r="C726" s="193"/>
      <c r="D726" s="209"/>
      <c r="E726" s="209"/>
      <c r="F726" s="210"/>
      <c r="G726" s="211" t="s">
        <v>198</v>
      </c>
      <c r="H726" s="209"/>
    </row>
    <row r="727" spans="1:8" ht="19.5">
      <c r="A727" s="189"/>
      <c r="B727" s="192" t="s">
        <v>462</v>
      </c>
      <c r="C727" s="193"/>
      <c r="D727" s="194">
        <v>28</v>
      </c>
      <c r="E727" s="191" t="s">
        <v>294</v>
      </c>
      <c r="F727" s="195">
        <v>5</v>
      </c>
      <c r="G727" s="256">
        <f aca="true" t="shared" si="23" ref="G727:G732">D727*F727</f>
        <v>140</v>
      </c>
      <c r="H727" s="189"/>
    </row>
    <row r="728" spans="1:8" ht="19.5">
      <c r="A728" s="189"/>
      <c r="B728" s="192" t="s">
        <v>245</v>
      </c>
      <c r="C728" s="193"/>
      <c r="D728" s="198">
        <v>21.51</v>
      </c>
      <c r="E728" s="191" t="s">
        <v>201</v>
      </c>
      <c r="F728" s="195">
        <v>2.08</v>
      </c>
      <c r="G728" s="256">
        <f t="shared" si="23"/>
        <v>44.74080000000001</v>
      </c>
      <c r="H728" s="230" t="s">
        <v>198</v>
      </c>
    </row>
    <row r="729" spans="1:8" ht="19.5">
      <c r="A729" s="189"/>
      <c r="B729" s="192" t="s">
        <v>303</v>
      </c>
      <c r="C729" s="193"/>
      <c r="D729" s="254">
        <v>0.25</v>
      </c>
      <c r="E729" s="191" t="s">
        <v>201</v>
      </c>
      <c r="F729" s="195">
        <v>5.47</v>
      </c>
      <c r="G729" s="256">
        <f t="shared" si="23"/>
        <v>1.3675</v>
      </c>
      <c r="H729" s="189"/>
    </row>
    <row r="730" spans="1:8" ht="19.5">
      <c r="A730" s="189"/>
      <c r="B730" s="192" t="s">
        <v>203</v>
      </c>
      <c r="C730" s="193"/>
      <c r="D730" s="254">
        <v>0.11</v>
      </c>
      <c r="E730" s="191" t="s">
        <v>189</v>
      </c>
      <c r="F730" s="195">
        <v>287.5</v>
      </c>
      <c r="G730" s="256">
        <f t="shared" si="23"/>
        <v>31.625</v>
      </c>
      <c r="H730" s="189"/>
    </row>
    <row r="731" spans="1:8" ht="19.5">
      <c r="A731" s="189"/>
      <c r="B731" s="192" t="s">
        <v>279</v>
      </c>
      <c r="C731" s="193"/>
      <c r="D731" s="194">
        <v>10</v>
      </c>
      <c r="E731" s="191" t="s">
        <v>206</v>
      </c>
      <c r="F731" s="199">
        <v>0.0144</v>
      </c>
      <c r="G731" s="256">
        <f t="shared" si="23"/>
        <v>0.144</v>
      </c>
      <c r="H731" s="189"/>
    </row>
    <row r="732" spans="1:8" ht="19.5">
      <c r="A732" s="189"/>
      <c r="B732" s="192" t="s">
        <v>331</v>
      </c>
      <c r="C732" s="193"/>
      <c r="D732" s="198">
        <v>0.02</v>
      </c>
      <c r="E732" s="191" t="s">
        <v>201</v>
      </c>
      <c r="F732" s="195">
        <v>150</v>
      </c>
      <c r="G732" s="256">
        <f t="shared" si="23"/>
        <v>3</v>
      </c>
      <c r="H732" s="189"/>
    </row>
    <row r="733" spans="1:8" ht="20.25">
      <c r="A733" s="200"/>
      <c r="B733" s="201"/>
      <c r="C733" s="202" t="s">
        <v>463</v>
      </c>
      <c r="D733" s="203">
        <v>1</v>
      </c>
      <c r="E733" s="204" t="s">
        <v>190</v>
      </c>
      <c r="F733" s="205" t="s">
        <v>208</v>
      </c>
      <c r="G733" s="206">
        <f>SUM(G727:G732)</f>
        <v>220.87730000000002</v>
      </c>
      <c r="H733" s="207" t="s">
        <v>209</v>
      </c>
    </row>
    <row r="734" spans="1:8" ht="20.25">
      <c r="A734" s="208">
        <v>10.11</v>
      </c>
      <c r="B734" s="187" t="s">
        <v>464</v>
      </c>
      <c r="C734" s="188"/>
      <c r="D734" s="189"/>
      <c r="E734" s="189"/>
      <c r="F734" s="190"/>
      <c r="G734" s="191" t="s">
        <v>198</v>
      </c>
      <c r="H734" s="189"/>
    </row>
    <row r="735" spans="1:8" ht="19.5">
      <c r="A735" s="189"/>
      <c r="B735" s="192" t="s">
        <v>465</v>
      </c>
      <c r="C735" s="193"/>
      <c r="D735" s="194">
        <v>28</v>
      </c>
      <c r="E735" s="191" t="s">
        <v>294</v>
      </c>
      <c r="F735" s="195">
        <v>5.5</v>
      </c>
      <c r="G735" s="256">
        <f aca="true" t="shared" si="24" ref="G735:G740">D735*F735</f>
        <v>154</v>
      </c>
      <c r="H735" s="189"/>
    </row>
    <row r="736" spans="1:8" ht="19.5">
      <c r="A736" s="189"/>
      <c r="B736" s="192" t="s">
        <v>245</v>
      </c>
      <c r="C736" s="193"/>
      <c r="D736" s="198">
        <v>21.51</v>
      </c>
      <c r="E736" s="191" t="s">
        <v>201</v>
      </c>
      <c r="F736" s="195">
        <v>2.08</v>
      </c>
      <c r="G736" s="256">
        <f t="shared" si="24"/>
        <v>44.74080000000001</v>
      </c>
      <c r="H736" s="230" t="s">
        <v>198</v>
      </c>
    </row>
    <row r="737" spans="1:8" ht="19.5">
      <c r="A737" s="189"/>
      <c r="B737" s="192" t="s">
        <v>303</v>
      </c>
      <c r="C737" s="188"/>
      <c r="D737" s="254">
        <v>0.25</v>
      </c>
      <c r="E737" s="191" t="s">
        <v>201</v>
      </c>
      <c r="F737" s="195">
        <v>5.47</v>
      </c>
      <c r="G737" s="256">
        <f t="shared" si="24"/>
        <v>1.3675</v>
      </c>
      <c r="H737" s="189"/>
    </row>
    <row r="738" spans="1:8" ht="19.5">
      <c r="A738" s="209"/>
      <c r="B738" s="250" t="s">
        <v>203</v>
      </c>
      <c r="C738" s="193"/>
      <c r="D738" s="251">
        <v>0.11</v>
      </c>
      <c r="E738" s="211" t="s">
        <v>189</v>
      </c>
      <c r="F738" s="252">
        <v>287.5</v>
      </c>
      <c r="G738" s="273">
        <f t="shared" si="24"/>
        <v>31.625</v>
      </c>
      <c r="H738" s="209"/>
    </row>
    <row r="739" spans="1:8" ht="19.5">
      <c r="A739" s="189"/>
      <c r="B739" s="192" t="s">
        <v>279</v>
      </c>
      <c r="C739" s="193"/>
      <c r="D739" s="194">
        <v>10</v>
      </c>
      <c r="E739" s="191" t="s">
        <v>206</v>
      </c>
      <c r="F739" s="199">
        <v>0.0144</v>
      </c>
      <c r="G739" s="256">
        <f t="shared" si="24"/>
        <v>0.144</v>
      </c>
      <c r="H739" s="189"/>
    </row>
    <row r="740" spans="1:8" ht="19.5">
      <c r="A740" s="189"/>
      <c r="B740" s="192" t="s">
        <v>331</v>
      </c>
      <c r="C740" s="193"/>
      <c r="D740" s="198">
        <v>0.02</v>
      </c>
      <c r="E740" s="191" t="s">
        <v>201</v>
      </c>
      <c r="F740" s="195">
        <v>150</v>
      </c>
      <c r="G740" s="256">
        <f t="shared" si="24"/>
        <v>3</v>
      </c>
      <c r="H740" s="189"/>
    </row>
    <row r="741" spans="1:8" ht="20.25">
      <c r="A741" s="288"/>
      <c r="B741" s="289"/>
      <c r="C741" s="290" t="s">
        <v>466</v>
      </c>
      <c r="D741" s="291">
        <v>1</v>
      </c>
      <c r="E741" s="292" t="s">
        <v>190</v>
      </c>
      <c r="F741" s="293" t="s">
        <v>208</v>
      </c>
      <c r="G741" s="294">
        <f>SUM(G735:G740)</f>
        <v>234.87730000000002</v>
      </c>
      <c r="H741" s="295" t="s">
        <v>209</v>
      </c>
    </row>
    <row r="742" spans="1:8" ht="20.25">
      <c r="A742" s="208">
        <v>10.12</v>
      </c>
      <c r="B742" s="187" t="s">
        <v>467</v>
      </c>
      <c r="C742" s="188"/>
      <c r="D742" s="189"/>
      <c r="E742" s="189"/>
      <c r="F742" s="190"/>
      <c r="G742" s="191" t="s">
        <v>198</v>
      </c>
      <c r="H742" s="189"/>
    </row>
    <row r="743" spans="1:8" ht="19.5">
      <c r="A743" s="189"/>
      <c r="B743" s="192" t="s">
        <v>468</v>
      </c>
      <c r="C743" s="193"/>
      <c r="D743" s="194">
        <v>28</v>
      </c>
      <c r="E743" s="191" t="s">
        <v>294</v>
      </c>
      <c r="F743" s="195">
        <v>6.25</v>
      </c>
      <c r="G743" s="256">
        <f aca="true" t="shared" si="25" ref="G743:G748">D743*F743</f>
        <v>175</v>
      </c>
      <c r="H743" s="189"/>
    </row>
    <row r="744" spans="1:8" ht="19.5">
      <c r="A744" s="189"/>
      <c r="B744" s="192" t="s">
        <v>245</v>
      </c>
      <c r="C744" s="193"/>
      <c r="D744" s="198">
        <v>21.51</v>
      </c>
      <c r="E744" s="191" t="s">
        <v>201</v>
      </c>
      <c r="F744" s="195">
        <v>2.08</v>
      </c>
      <c r="G744" s="256">
        <f t="shared" si="25"/>
        <v>44.74080000000001</v>
      </c>
      <c r="H744" s="230" t="s">
        <v>198</v>
      </c>
    </row>
    <row r="745" spans="1:8" ht="19.5">
      <c r="A745" s="189"/>
      <c r="B745" s="192" t="s">
        <v>303</v>
      </c>
      <c r="C745" s="193"/>
      <c r="D745" s="254">
        <v>0.25</v>
      </c>
      <c r="E745" s="191" t="s">
        <v>201</v>
      </c>
      <c r="F745" s="195">
        <v>5.47</v>
      </c>
      <c r="G745" s="256">
        <f t="shared" si="25"/>
        <v>1.3675</v>
      </c>
      <c r="H745" s="189"/>
    </row>
    <row r="746" spans="1:8" ht="19.5">
      <c r="A746" s="189"/>
      <c r="B746" s="192" t="s">
        <v>203</v>
      </c>
      <c r="C746" s="193"/>
      <c r="D746" s="254">
        <v>0.11</v>
      </c>
      <c r="E746" s="191" t="s">
        <v>189</v>
      </c>
      <c r="F746" s="195">
        <v>287.5</v>
      </c>
      <c r="G746" s="256">
        <f t="shared" si="25"/>
        <v>31.625</v>
      </c>
      <c r="H746" s="189"/>
    </row>
    <row r="747" spans="1:8" ht="19.5">
      <c r="A747" s="189"/>
      <c r="B747" s="192" t="s">
        <v>279</v>
      </c>
      <c r="C747" s="193"/>
      <c r="D747" s="194">
        <v>10</v>
      </c>
      <c r="E747" s="191" t="s">
        <v>206</v>
      </c>
      <c r="F747" s="199">
        <v>0.0144</v>
      </c>
      <c r="G747" s="256">
        <f t="shared" si="25"/>
        <v>0.144</v>
      </c>
      <c r="H747" s="189"/>
    </row>
    <row r="748" spans="1:8" ht="19.5">
      <c r="A748" s="189"/>
      <c r="B748" s="192" t="s">
        <v>331</v>
      </c>
      <c r="C748" s="193"/>
      <c r="D748" s="198">
        <v>0.02</v>
      </c>
      <c r="E748" s="191" t="s">
        <v>201</v>
      </c>
      <c r="F748" s="195">
        <v>150</v>
      </c>
      <c r="G748" s="256">
        <f t="shared" si="25"/>
        <v>3</v>
      </c>
      <c r="H748" s="189"/>
    </row>
    <row r="749" spans="1:8" ht="20.25">
      <c r="A749" s="200"/>
      <c r="B749" s="201"/>
      <c r="C749" s="202" t="s">
        <v>469</v>
      </c>
      <c r="D749" s="203">
        <v>1</v>
      </c>
      <c r="E749" s="204" t="s">
        <v>190</v>
      </c>
      <c r="F749" s="205" t="s">
        <v>208</v>
      </c>
      <c r="G749" s="206">
        <f>SUM(G743:G748)</f>
        <v>255.87730000000002</v>
      </c>
      <c r="H749" s="207" t="s">
        <v>209</v>
      </c>
    </row>
    <row r="750" spans="1:8" ht="20.25">
      <c r="A750" s="208">
        <v>10.13</v>
      </c>
      <c r="B750" s="187" t="s">
        <v>470</v>
      </c>
      <c r="C750" s="188"/>
      <c r="D750" s="189"/>
      <c r="E750" s="189"/>
      <c r="F750" s="190"/>
      <c r="G750" s="191" t="s">
        <v>198</v>
      </c>
      <c r="H750" s="189"/>
    </row>
    <row r="751" spans="1:8" ht="19.5">
      <c r="A751" s="189"/>
      <c r="B751" s="192" t="s">
        <v>471</v>
      </c>
      <c r="C751" s="193"/>
      <c r="D751" s="194">
        <v>28</v>
      </c>
      <c r="E751" s="191" t="s">
        <v>294</v>
      </c>
      <c r="F751" s="195">
        <v>5.75</v>
      </c>
      <c r="G751" s="256">
        <f aca="true" t="shared" si="26" ref="G751:G756">D751*F751</f>
        <v>161</v>
      </c>
      <c r="H751" s="189"/>
    </row>
    <row r="752" spans="1:8" ht="19.5">
      <c r="A752" s="189"/>
      <c r="B752" s="192" t="s">
        <v>245</v>
      </c>
      <c r="C752" s="193"/>
      <c r="D752" s="198">
        <v>21.51</v>
      </c>
      <c r="E752" s="191" t="s">
        <v>201</v>
      </c>
      <c r="F752" s="195">
        <v>2.08</v>
      </c>
      <c r="G752" s="256">
        <f t="shared" si="26"/>
        <v>44.74080000000001</v>
      </c>
      <c r="H752" s="230" t="s">
        <v>198</v>
      </c>
    </row>
    <row r="753" spans="1:8" ht="19.5">
      <c r="A753" s="189"/>
      <c r="B753" s="192" t="s">
        <v>303</v>
      </c>
      <c r="C753" s="193"/>
      <c r="D753" s="254">
        <v>0.25</v>
      </c>
      <c r="E753" s="191" t="s">
        <v>201</v>
      </c>
      <c r="F753" s="195">
        <v>5.47</v>
      </c>
      <c r="G753" s="256">
        <f t="shared" si="26"/>
        <v>1.3675</v>
      </c>
      <c r="H753" s="189"/>
    </row>
    <row r="754" spans="1:8" ht="19.5">
      <c r="A754" s="189"/>
      <c r="B754" s="192" t="s">
        <v>203</v>
      </c>
      <c r="C754" s="193"/>
      <c r="D754" s="254">
        <v>0.11</v>
      </c>
      <c r="E754" s="191" t="s">
        <v>189</v>
      </c>
      <c r="F754" s="195">
        <v>287.5</v>
      </c>
      <c r="G754" s="256">
        <f t="shared" si="26"/>
        <v>31.625</v>
      </c>
      <c r="H754" s="189"/>
    </row>
    <row r="755" spans="1:8" ht="19.5">
      <c r="A755" s="189"/>
      <c r="B755" s="192" t="s">
        <v>279</v>
      </c>
      <c r="C755" s="193"/>
      <c r="D755" s="194">
        <v>10</v>
      </c>
      <c r="E755" s="191" t="s">
        <v>206</v>
      </c>
      <c r="F755" s="199">
        <v>0.0144</v>
      </c>
      <c r="G755" s="256">
        <f t="shared" si="26"/>
        <v>0.144</v>
      </c>
      <c r="H755" s="189"/>
    </row>
    <row r="756" spans="1:8" ht="19.5">
      <c r="A756" s="189"/>
      <c r="B756" s="192" t="s">
        <v>331</v>
      </c>
      <c r="C756" s="193"/>
      <c r="D756" s="198">
        <v>0.02</v>
      </c>
      <c r="E756" s="191" t="s">
        <v>201</v>
      </c>
      <c r="F756" s="195">
        <v>150</v>
      </c>
      <c r="G756" s="256">
        <f t="shared" si="26"/>
        <v>3</v>
      </c>
      <c r="H756" s="189"/>
    </row>
    <row r="757" spans="1:8" ht="20.25">
      <c r="A757" s="200"/>
      <c r="B757" s="201"/>
      <c r="C757" s="202" t="s">
        <v>472</v>
      </c>
      <c r="D757" s="203">
        <v>1</v>
      </c>
      <c r="E757" s="204" t="s">
        <v>190</v>
      </c>
      <c r="F757" s="205" t="s">
        <v>208</v>
      </c>
      <c r="G757" s="206">
        <f>SUM(G751:G756)</f>
        <v>241.87730000000002</v>
      </c>
      <c r="H757" s="207" t="s">
        <v>209</v>
      </c>
    </row>
    <row r="758" spans="1:8" ht="20.25">
      <c r="A758" s="296">
        <v>10.14</v>
      </c>
      <c r="B758" s="284" t="s">
        <v>473</v>
      </c>
      <c r="C758" s="193"/>
      <c r="D758" s="209"/>
      <c r="E758" s="209"/>
      <c r="F758" s="210"/>
      <c r="G758" s="211" t="s">
        <v>198</v>
      </c>
      <c r="H758" s="209"/>
    </row>
    <row r="759" spans="1:8" ht="19.5">
      <c r="A759" s="189"/>
      <c r="B759" s="192" t="s">
        <v>474</v>
      </c>
      <c r="C759" s="193"/>
      <c r="D759" s="194">
        <v>28</v>
      </c>
      <c r="E759" s="191" t="s">
        <v>294</v>
      </c>
      <c r="F759" s="195">
        <v>6.25</v>
      </c>
      <c r="G759" s="256">
        <f aca="true" t="shared" si="27" ref="G759:G764">D759*F759</f>
        <v>175</v>
      </c>
      <c r="H759" s="189"/>
    </row>
    <row r="760" spans="1:8" ht="19.5">
      <c r="A760" s="189"/>
      <c r="B760" s="192" t="s">
        <v>245</v>
      </c>
      <c r="C760" s="193"/>
      <c r="D760" s="198">
        <v>21.51</v>
      </c>
      <c r="E760" s="191" t="s">
        <v>201</v>
      </c>
      <c r="F760" s="195">
        <v>2.08</v>
      </c>
      <c r="G760" s="256">
        <f t="shared" si="27"/>
        <v>44.74080000000001</v>
      </c>
      <c r="H760" s="230" t="s">
        <v>198</v>
      </c>
    </row>
    <row r="761" spans="1:8" ht="19.5">
      <c r="A761" s="189"/>
      <c r="B761" s="192" t="s">
        <v>303</v>
      </c>
      <c r="C761" s="193"/>
      <c r="D761" s="254">
        <v>0.25</v>
      </c>
      <c r="E761" s="191" t="s">
        <v>201</v>
      </c>
      <c r="F761" s="195">
        <v>5.47</v>
      </c>
      <c r="G761" s="256">
        <f t="shared" si="27"/>
        <v>1.3675</v>
      </c>
      <c r="H761" s="189"/>
    </row>
    <row r="762" spans="1:8" ht="19.5">
      <c r="A762" s="189"/>
      <c r="B762" s="192" t="s">
        <v>203</v>
      </c>
      <c r="C762" s="193"/>
      <c r="D762" s="254">
        <v>0.11</v>
      </c>
      <c r="E762" s="191" t="s">
        <v>189</v>
      </c>
      <c r="F762" s="195">
        <v>287.5</v>
      </c>
      <c r="G762" s="256">
        <f t="shared" si="27"/>
        <v>31.625</v>
      </c>
      <c r="H762" s="189"/>
    </row>
    <row r="763" spans="1:8" ht="19.5">
      <c r="A763" s="189"/>
      <c r="B763" s="192" t="s">
        <v>279</v>
      </c>
      <c r="C763" s="193"/>
      <c r="D763" s="194">
        <v>10</v>
      </c>
      <c r="E763" s="191" t="s">
        <v>206</v>
      </c>
      <c r="F763" s="199">
        <v>0.0144</v>
      </c>
      <c r="G763" s="256">
        <f t="shared" si="27"/>
        <v>0.144</v>
      </c>
      <c r="H763" s="189"/>
    </row>
    <row r="764" spans="1:8" ht="19.5">
      <c r="A764" s="189"/>
      <c r="B764" s="192" t="s">
        <v>331</v>
      </c>
      <c r="C764" s="193"/>
      <c r="D764" s="198">
        <v>0.02</v>
      </c>
      <c r="E764" s="191" t="s">
        <v>201</v>
      </c>
      <c r="F764" s="195">
        <v>150</v>
      </c>
      <c r="G764" s="256">
        <f t="shared" si="27"/>
        <v>3</v>
      </c>
      <c r="H764" s="189"/>
    </row>
    <row r="765" spans="1:8" ht="20.25">
      <c r="A765" s="200"/>
      <c r="B765" s="201"/>
      <c r="C765" s="202" t="s">
        <v>475</v>
      </c>
      <c r="D765" s="203">
        <v>1</v>
      </c>
      <c r="E765" s="204" t="s">
        <v>190</v>
      </c>
      <c r="F765" s="205" t="s">
        <v>208</v>
      </c>
      <c r="G765" s="206">
        <f>SUM(G759:G764)</f>
        <v>255.87730000000002</v>
      </c>
      <c r="H765" s="207" t="s">
        <v>209</v>
      </c>
    </row>
    <row r="766" spans="1:8" ht="20.25">
      <c r="A766" s="208">
        <v>10.15</v>
      </c>
      <c r="B766" s="284" t="s">
        <v>476</v>
      </c>
      <c r="C766" s="193"/>
      <c r="D766" s="209"/>
      <c r="E766" s="209"/>
      <c r="F766" s="210"/>
      <c r="G766" s="211" t="s">
        <v>198</v>
      </c>
      <c r="H766" s="209"/>
    </row>
    <row r="767" spans="1:8" ht="19.5">
      <c r="A767" s="189"/>
      <c r="B767" s="192" t="s">
        <v>477</v>
      </c>
      <c r="C767" s="193"/>
      <c r="D767" s="194">
        <v>14</v>
      </c>
      <c r="E767" s="191" t="s">
        <v>294</v>
      </c>
      <c r="F767" s="195">
        <v>11.5</v>
      </c>
      <c r="G767" s="256">
        <f aca="true" t="shared" si="28" ref="G767:G772">D767*F767</f>
        <v>161</v>
      </c>
      <c r="H767" s="189"/>
    </row>
    <row r="768" spans="1:8" ht="19.5">
      <c r="A768" s="189"/>
      <c r="B768" s="192" t="s">
        <v>245</v>
      </c>
      <c r="C768" s="193"/>
      <c r="D768" s="198">
        <v>21.51</v>
      </c>
      <c r="E768" s="191" t="s">
        <v>201</v>
      </c>
      <c r="F768" s="195">
        <v>2.08</v>
      </c>
      <c r="G768" s="256">
        <f t="shared" si="28"/>
        <v>44.74080000000001</v>
      </c>
      <c r="H768" s="230" t="s">
        <v>198</v>
      </c>
    </row>
    <row r="769" spans="1:8" ht="19.5">
      <c r="A769" s="189"/>
      <c r="B769" s="192" t="s">
        <v>303</v>
      </c>
      <c r="C769" s="193"/>
      <c r="D769" s="254">
        <v>0.25</v>
      </c>
      <c r="E769" s="191" t="s">
        <v>201</v>
      </c>
      <c r="F769" s="195">
        <v>5.47</v>
      </c>
      <c r="G769" s="256">
        <f t="shared" si="28"/>
        <v>1.3675</v>
      </c>
      <c r="H769" s="189"/>
    </row>
    <row r="770" spans="1:8" ht="19.5">
      <c r="A770" s="189"/>
      <c r="B770" s="192" t="s">
        <v>203</v>
      </c>
      <c r="C770" s="193"/>
      <c r="D770" s="254">
        <v>0.11</v>
      </c>
      <c r="E770" s="191" t="s">
        <v>189</v>
      </c>
      <c r="F770" s="195">
        <v>287.5</v>
      </c>
      <c r="G770" s="256">
        <f t="shared" si="28"/>
        <v>31.625</v>
      </c>
      <c r="H770" s="189"/>
    </row>
    <row r="771" spans="1:8" ht="19.5">
      <c r="A771" s="189"/>
      <c r="B771" s="192" t="s">
        <v>279</v>
      </c>
      <c r="C771" s="193"/>
      <c r="D771" s="194">
        <v>10</v>
      </c>
      <c r="E771" s="191" t="s">
        <v>206</v>
      </c>
      <c r="F771" s="199">
        <v>0.0144</v>
      </c>
      <c r="G771" s="256">
        <f t="shared" si="28"/>
        <v>0.144</v>
      </c>
      <c r="H771" s="189"/>
    </row>
    <row r="772" spans="1:8" ht="19.5">
      <c r="A772" s="189"/>
      <c r="B772" s="192" t="s">
        <v>331</v>
      </c>
      <c r="C772" s="193"/>
      <c r="D772" s="198">
        <v>0.02</v>
      </c>
      <c r="E772" s="191" t="s">
        <v>201</v>
      </c>
      <c r="F772" s="195">
        <v>150</v>
      </c>
      <c r="G772" s="256">
        <f t="shared" si="28"/>
        <v>3</v>
      </c>
      <c r="H772" s="189"/>
    </row>
    <row r="773" spans="1:8" ht="20.25">
      <c r="A773" s="200"/>
      <c r="B773" s="201"/>
      <c r="C773" s="202" t="s">
        <v>478</v>
      </c>
      <c r="D773" s="203">
        <v>1</v>
      </c>
      <c r="E773" s="204" t="s">
        <v>190</v>
      </c>
      <c r="F773" s="205" t="s">
        <v>208</v>
      </c>
      <c r="G773" s="206">
        <f>SUM(G767:G772)</f>
        <v>241.87730000000002</v>
      </c>
      <c r="H773" s="207" t="s">
        <v>209</v>
      </c>
    </row>
    <row r="774" spans="1:8" ht="20.25">
      <c r="A774" s="296">
        <v>10.16</v>
      </c>
      <c r="B774" s="187" t="s">
        <v>479</v>
      </c>
      <c r="C774" s="188"/>
      <c r="D774" s="189"/>
      <c r="E774" s="189"/>
      <c r="F774" s="190"/>
      <c r="G774" s="191" t="s">
        <v>198</v>
      </c>
      <c r="H774" s="189"/>
    </row>
    <row r="775" spans="1:8" ht="19.5">
      <c r="A775" s="189"/>
      <c r="B775" s="192" t="s">
        <v>480</v>
      </c>
      <c r="C775" s="193"/>
      <c r="D775" s="194">
        <v>14</v>
      </c>
      <c r="E775" s="191" t="s">
        <v>294</v>
      </c>
      <c r="F775" s="195">
        <v>12</v>
      </c>
      <c r="G775" s="256">
        <f aca="true" t="shared" si="29" ref="G775:G780">D775*F775</f>
        <v>168</v>
      </c>
      <c r="H775" s="189"/>
    </row>
    <row r="776" spans="1:8" ht="19.5">
      <c r="A776" s="189"/>
      <c r="B776" s="192" t="s">
        <v>245</v>
      </c>
      <c r="C776" s="193"/>
      <c r="D776" s="198">
        <v>21.51</v>
      </c>
      <c r="E776" s="191" t="s">
        <v>201</v>
      </c>
      <c r="F776" s="195">
        <v>2.08</v>
      </c>
      <c r="G776" s="256">
        <f t="shared" si="29"/>
        <v>44.74080000000001</v>
      </c>
      <c r="H776" s="230" t="s">
        <v>198</v>
      </c>
    </row>
    <row r="777" spans="1:8" ht="19.5">
      <c r="A777" s="189"/>
      <c r="B777" s="192" t="s">
        <v>303</v>
      </c>
      <c r="C777" s="188"/>
      <c r="D777" s="254">
        <v>0.25</v>
      </c>
      <c r="E777" s="191" t="s">
        <v>201</v>
      </c>
      <c r="F777" s="195">
        <v>5.47</v>
      </c>
      <c r="G777" s="256">
        <f t="shared" si="29"/>
        <v>1.3675</v>
      </c>
      <c r="H777" s="189"/>
    </row>
    <row r="778" spans="1:8" ht="19.5">
      <c r="A778" s="209"/>
      <c r="B778" s="250" t="s">
        <v>203</v>
      </c>
      <c r="C778" s="193"/>
      <c r="D778" s="251">
        <v>0.11</v>
      </c>
      <c r="E778" s="211" t="s">
        <v>189</v>
      </c>
      <c r="F778" s="252">
        <v>287.5</v>
      </c>
      <c r="G778" s="273">
        <f t="shared" si="29"/>
        <v>31.625</v>
      </c>
      <c r="H778" s="209"/>
    </row>
    <row r="779" spans="1:8" ht="19.5">
      <c r="A779" s="189"/>
      <c r="B779" s="192" t="s">
        <v>279</v>
      </c>
      <c r="C779" s="193"/>
      <c r="D779" s="194">
        <v>10</v>
      </c>
      <c r="E779" s="191" t="s">
        <v>206</v>
      </c>
      <c r="F779" s="199">
        <v>0.0144</v>
      </c>
      <c r="G779" s="256">
        <f t="shared" si="29"/>
        <v>0.144</v>
      </c>
      <c r="H779" s="189"/>
    </row>
    <row r="780" spans="1:8" ht="19.5">
      <c r="A780" s="189"/>
      <c r="B780" s="192" t="s">
        <v>331</v>
      </c>
      <c r="C780" s="193"/>
      <c r="D780" s="198">
        <v>0.02</v>
      </c>
      <c r="E780" s="191" t="s">
        <v>201</v>
      </c>
      <c r="F780" s="195">
        <v>150</v>
      </c>
      <c r="G780" s="256">
        <f t="shared" si="29"/>
        <v>3</v>
      </c>
      <c r="H780" s="189"/>
    </row>
    <row r="781" spans="1:8" ht="20.25">
      <c r="A781" s="200"/>
      <c r="B781" s="201"/>
      <c r="C781" s="202" t="s">
        <v>481</v>
      </c>
      <c r="D781" s="203">
        <v>1</v>
      </c>
      <c r="E781" s="204" t="s">
        <v>190</v>
      </c>
      <c r="F781" s="205" t="s">
        <v>208</v>
      </c>
      <c r="G781" s="206">
        <f>SUM(G775:G780)</f>
        <v>248.87730000000002</v>
      </c>
      <c r="H781" s="207" t="s">
        <v>209</v>
      </c>
    </row>
    <row r="782" spans="1:8" ht="20.25">
      <c r="A782" s="296">
        <v>10.17</v>
      </c>
      <c r="B782" s="187" t="s">
        <v>482</v>
      </c>
      <c r="C782" s="188"/>
      <c r="D782" s="189"/>
      <c r="E782" s="189"/>
      <c r="F782" s="190"/>
      <c r="G782" s="191" t="s">
        <v>198</v>
      </c>
      <c r="H782" s="189"/>
    </row>
    <row r="783" spans="1:8" ht="19.5">
      <c r="A783" s="189"/>
      <c r="B783" s="192" t="s">
        <v>339</v>
      </c>
      <c r="C783" s="193"/>
      <c r="D783" s="194">
        <v>12</v>
      </c>
      <c r="E783" s="191" t="s">
        <v>294</v>
      </c>
      <c r="F783" s="195">
        <v>15.46</v>
      </c>
      <c r="G783" s="256">
        <f aca="true" t="shared" si="30" ref="G783:G788">D783*F783</f>
        <v>185.52</v>
      </c>
      <c r="H783" s="189"/>
    </row>
    <row r="784" spans="1:8" ht="19.5">
      <c r="A784" s="189"/>
      <c r="B784" s="192" t="s">
        <v>245</v>
      </c>
      <c r="C784" s="193"/>
      <c r="D784" s="198">
        <v>21.51</v>
      </c>
      <c r="E784" s="191" t="s">
        <v>201</v>
      </c>
      <c r="F784" s="195">
        <v>2.99</v>
      </c>
      <c r="G784" s="256">
        <f t="shared" si="30"/>
        <v>64.31490000000001</v>
      </c>
      <c r="H784" s="230" t="s">
        <v>198</v>
      </c>
    </row>
    <row r="785" spans="1:8" ht="19.5">
      <c r="A785" s="189"/>
      <c r="B785" s="192" t="s">
        <v>336</v>
      </c>
      <c r="C785" s="193"/>
      <c r="D785" s="254">
        <v>0.25</v>
      </c>
      <c r="E785" s="191" t="s">
        <v>201</v>
      </c>
      <c r="F785" s="195">
        <v>27.14</v>
      </c>
      <c r="G785" s="256">
        <f t="shared" si="30"/>
        <v>6.785</v>
      </c>
      <c r="H785" s="189"/>
    </row>
    <row r="786" spans="1:8" ht="19.5">
      <c r="A786" s="189"/>
      <c r="B786" s="192" t="s">
        <v>203</v>
      </c>
      <c r="C786" s="188"/>
      <c r="D786" s="254">
        <v>0.11</v>
      </c>
      <c r="E786" s="191" t="s">
        <v>189</v>
      </c>
      <c r="F786" s="195">
        <v>420.56</v>
      </c>
      <c r="G786" s="256">
        <f t="shared" si="30"/>
        <v>46.2616</v>
      </c>
      <c r="H786" s="189"/>
    </row>
    <row r="787" spans="1:8" ht="19.5">
      <c r="A787" s="209"/>
      <c r="B787" s="250" t="s">
        <v>279</v>
      </c>
      <c r="C787" s="193"/>
      <c r="D787" s="285">
        <v>10</v>
      </c>
      <c r="E787" s="211" t="s">
        <v>206</v>
      </c>
      <c r="F787" s="286">
        <v>0.003</v>
      </c>
      <c r="G787" s="273">
        <f t="shared" si="30"/>
        <v>0.03</v>
      </c>
      <c r="H787" s="209"/>
    </row>
    <row r="788" spans="1:8" ht="19.5">
      <c r="A788" s="189"/>
      <c r="B788" s="192" t="s">
        <v>331</v>
      </c>
      <c r="C788" s="193"/>
      <c r="D788" s="198">
        <v>0.02</v>
      </c>
      <c r="E788" s="191" t="s">
        <v>201</v>
      </c>
      <c r="F788" s="195"/>
      <c r="G788" s="256">
        <f t="shared" si="30"/>
        <v>0</v>
      </c>
      <c r="H788" s="189"/>
    </row>
    <row r="789" spans="1:8" ht="20.25">
      <c r="A789" s="200"/>
      <c r="B789" s="201"/>
      <c r="C789" s="202" t="s">
        <v>483</v>
      </c>
      <c r="D789" s="203">
        <v>1</v>
      </c>
      <c r="E789" s="204" t="s">
        <v>190</v>
      </c>
      <c r="F789" s="205" t="s">
        <v>208</v>
      </c>
      <c r="G789" s="206">
        <f>SUM(G783:G788)</f>
        <v>302.9115</v>
      </c>
      <c r="H789" s="207" t="s">
        <v>209</v>
      </c>
    </row>
    <row r="790" spans="1:8" ht="20.25">
      <c r="A790" s="296">
        <v>10.18</v>
      </c>
      <c r="B790" s="284" t="s">
        <v>484</v>
      </c>
      <c r="C790" s="193"/>
      <c r="D790" s="209"/>
      <c r="E790" s="209"/>
      <c r="F790" s="210"/>
      <c r="G790" s="211" t="s">
        <v>198</v>
      </c>
      <c r="H790" s="209"/>
    </row>
    <row r="791" spans="1:8" ht="19.5">
      <c r="A791" s="189"/>
      <c r="B791" s="192" t="s">
        <v>485</v>
      </c>
      <c r="C791" s="193"/>
      <c r="D791" s="198">
        <v>1.06</v>
      </c>
      <c r="E791" s="191" t="s">
        <v>190</v>
      </c>
      <c r="F791" s="195">
        <v>680</v>
      </c>
      <c r="G791" s="256">
        <f>F791</f>
        <v>680</v>
      </c>
      <c r="H791" s="231" t="s">
        <v>486</v>
      </c>
    </row>
    <row r="792" spans="1:8" ht="19.5">
      <c r="A792" s="189"/>
      <c r="B792" s="192" t="s">
        <v>245</v>
      </c>
      <c r="C792" s="193"/>
      <c r="D792" s="198">
        <v>21.51</v>
      </c>
      <c r="E792" s="191" t="s">
        <v>201</v>
      </c>
      <c r="F792" s="195">
        <v>2.08</v>
      </c>
      <c r="G792" s="256">
        <f>D792*F792</f>
        <v>44.74080000000001</v>
      </c>
      <c r="H792" s="231" t="s">
        <v>198</v>
      </c>
    </row>
    <row r="793" spans="1:8" ht="19.5">
      <c r="A793" s="189"/>
      <c r="B793" s="192" t="s">
        <v>336</v>
      </c>
      <c r="C793" s="193"/>
      <c r="D793" s="254">
        <v>0.25</v>
      </c>
      <c r="E793" s="191" t="s">
        <v>201</v>
      </c>
      <c r="F793" s="195">
        <v>27.14</v>
      </c>
      <c r="G793" s="256">
        <f>D793*F793</f>
        <v>6.785</v>
      </c>
      <c r="H793" s="230" t="s">
        <v>198</v>
      </c>
    </row>
    <row r="794" spans="1:8" ht="19.5">
      <c r="A794" s="189"/>
      <c r="B794" s="192" t="s">
        <v>203</v>
      </c>
      <c r="C794" s="193"/>
      <c r="D794" s="254">
        <v>0.11</v>
      </c>
      <c r="E794" s="191" t="s">
        <v>189</v>
      </c>
      <c r="F794" s="195">
        <v>287.5</v>
      </c>
      <c r="G794" s="256">
        <f>D794*F794</f>
        <v>31.625</v>
      </c>
      <c r="H794" s="189"/>
    </row>
    <row r="795" spans="1:8" ht="19.5">
      <c r="A795" s="189"/>
      <c r="B795" s="192" t="s">
        <v>279</v>
      </c>
      <c r="C795" s="193"/>
      <c r="D795" s="194">
        <v>10</v>
      </c>
      <c r="E795" s="191" t="s">
        <v>206</v>
      </c>
      <c r="F795" s="199">
        <v>0.0144</v>
      </c>
      <c r="G795" s="256">
        <f>D795*F795</f>
        <v>0.144</v>
      </c>
      <c r="H795" s="189"/>
    </row>
    <row r="796" spans="1:8" ht="19.5">
      <c r="A796" s="189"/>
      <c r="B796" s="192" t="s">
        <v>331</v>
      </c>
      <c r="C796" s="193"/>
      <c r="D796" s="198">
        <v>0.02</v>
      </c>
      <c r="E796" s="191" t="s">
        <v>201</v>
      </c>
      <c r="F796" s="195">
        <v>150</v>
      </c>
      <c r="G796" s="256">
        <f>D796*F796</f>
        <v>3</v>
      </c>
      <c r="H796" s="189"/>
    </row>
    <row r="797" spans="1:8" ht="20.25">
      <c r="A797" s="200"/>
      <c r="B797" s="201"/>
      <c r="C797" s="202" t="s">
        <v>487</v>
      </c>
      <c r="D797" s="203">
        <v>1</v>
      </c>
      <c r="E797" s="204" t="s">
        <v>190</v>
      </c>
      <c r="F797" s="205" t="s">
        <v>208</v>
      </c>
      <c r="G797" s="206">
        <f>SUM(G791:G796)</f>
        <v>766.2948</v>
      </c>
      <c r="H797" s="207" t="s">
        <v>209</v>
      </c>
    </row>
    <row r="798" spans="1:8" ht="20.25">
      <c r="A798" s="296">
        <v>10.19</v>
      </c>
      <c r="B798" s="187" t="s">
        <v>488</v>
      </c>
      <c r="C798" s="188"/>
      <c r="D798" s="189"/>
      <c r="E798" s="189"/>
      <c r="F798" s="190"/>
      <c r="G798" s="191" t="s">
        <v>198</v>
      </c>
      <c r="H798" s="189"/>
    </row>
    <row r="799" spans="1:8" ht="19.5">
      <c r="A799" s="189"/>
      <c r="B799" s="192" t="s">
        <v>489</v>
      </c>
      <c r="C799" s="193"/>
      <c r="D799" s="198">
        <v>1.06</v>
      </c>
      <c r="E799" s="191" t="s">
        <v>190</v>
      </c>
      <c r="F799" s="195">
        <v>880</v>
      </c>
      <c r="G799" s="256">
        <f aca="true" t="shared" si="31" ref="G799:G804">D799*F799</f>
        <v>932.8000000000001</v>
      </c>
      <c r="H799" s="231" t="s">
        <v>486</v>
      </c>
    </row>
    <row r="800" spans="1:8" ht="19.5">
      <c r="A800" s="189"/>
      <c r="B800" s="192" t="s">
        <v>245</v>
      </c>
      <c r="C800" s="193"/>
      <c r="D800" s="198">
        <v>21.51</v>
      </c>
      <c r="E800" s="191" t="s">
        <v>201</v>
      </c>
      <c r="F800" s="195">
        <v>2.08</v>
      </c>
      <c r="G800" s="256">
        <f t="shared" si="31"/>
        <v>44.74080000000001</v>
      </c>
      <c r="H800" s="231" t="s">
        <v>198</v>
      </c>
    </row>
    <row r="801" spans="1:8" ht="19.5">
      <c r="A801" s="189"/>
      <c r="B801" s="192" t="s">
        <v>336</v>
      </c>
      <c r="C801" s="193"/>
      <c r="D801" s="254">
        <v>0.25</v>
      </c>
      <c r="E801" s="191" t="s">
        <v>201</v>
      </c>
      <c r="F801" s="195">
        <v>27.14</v>
      </c>
      <c r="G801" s="256">
        <f t="shared" si="31"/>
        <v>6.785</v>
      </c>
      <c r="H801" s="230" t="s">
        <v>198</v>
      </c>
    </row>
    <row r="802" spans="1:8" ht="19.5">
      <c r="A802" s="189"/>
      <c r="B802" s="192" t="s">
        <v>203</v>
      </c>
      <c r="C802" s="193"/>
      <c r="D802" s="254">
        <v>0.11</v>
      </c>
      <c r="E802" s="191" t="s">
        <v>189</v>
      </c>
      <c r="F802" s="195">
        <v>287.5</v>
      </c>
      <c r="G802" s="256">
        <f t="shared" si="31"/>
        <v>31.625</v>
      </c>
      <c r="H802" s="189"/>
    </row>
    <row r="803" spans="1:8" ht="19.5">
      <c r="A803" s="189"/>
      <c r="B803" s="192" t="s">
        <v>279</v>
      </c>
      <c r="C803" s="193"/>
      <c r="D803" s="194">
        <v>10</v>
      </c>
      <c r="E803" s="191" t="s">
        <v>206</v>
      </c>
      <c r="F803" s="199">
        <v>0.0144</v>
      </c>
      <c r="G803" s="256">
        <f t="shared" si="31"/>
        <v>0.144</v>
      </c>
      <c r="H803" s="189"/>
    </row>
    <row r="804" spans="1:8" ht="19.5">
      <c r="A804" s="189"/>
      <c r="B804" s="192" t="s">
        <v>331</v>
      </c>
      <c r="C804" s="193"/>
      <c r="D804" s="198">
        <v>0.02</v>
      </c>
      <c r="E804" s="191" t="s">
        <v>201</v>
      </c>
      <c r="F804" s="195">
        <v>150</v>
      </c>
      <c r="G804" s="256">
        <f t="shared" si="31"/>
        <v>3</v>
      </c>
      <c r="H804" s="189"/>
    </row>
    <row r="805" spans="1:8" ht="20.25">
      <c r="A805" s="200"/>
      <c r="B805" s="201"/>
      <c r="C805" s="202" t="s">
        <v>490</v>
      </c>
      <c r="D805" s="203">
        <v>1</v>
      </c>
      <c r="E805" s="204" t="s">
        <v>190</v>
      </c>
      <c r="F805" s="205" t="s">
        <v>208</v>
      </c>
      <c r="G805" s="206">
        <f>SUM(G799:G804)</f>
        <v>1019.0948000000001</v>
      </c>
      <c r="H805" s="207" t="s">
        <v>209</v>
      </c>
    </row>
    <row r="806" spans="1:8" ht="20.25">
      <c r="A806" s="296">
        <v>10.2</v>
      </c>
      <c r="B806" s="187" t="s">
        <v>723</v>
      </c>
      <c r="C806" s="188"/>
      <c r="D806" s="189"/>
      <c r="E806" s="189"/>
      <c r="F806" s="190"/>
      <c r="G806" s="191" t="s">
        <v>198</v>
      </c>
      <c r="H806" s="189"/>
    </row>
    <row r="807" spans="1:8" ht="19.5">
      <c r="A807" s="189"/>
      <c r="B807" s="192" t="s">
        <v>491</v>
      </c>
      <c r="C807" s="193"/>
      <c r="D807" s="198">
        <v>1.05</v>
      </c>
      <c r="E807" s="191" t="s">
        <v>190</v>
      </c>
      <c r="F807" s="195">
        <v>99.96</v>
      </c>
      <c r="G807" s="256">
        <f aca="true" t="shared" si="32" ref="G807:G812">D807*F807</f>
        <v>104.958</v>
      </c>
      <c r="H807" s="231" t="s">
        <v>492</v>
      </c>
    </row>
    <row r="808" spans="1:8" ht="19.5">
      <c r="A808" s="189"/>
      <c r="B808" s="192" t="s">
        <v>245</v>
      </c>
      <c r="C808" s="193"/>
      <c r="D808" s="198">
        <v>21.51</v>
      </c>
      <c r="E808" s="191" t="s">
        <v>201</v>
      </c>
      <c r="F808" s="195">
        <v>2.08</v>
      </c>
      <c r="G808" s="256">
        <f t="shared" si="32"/>
        <v>44.74080000000001</v>
      </c>
      <c r="H808" s="231" t="s">
        <v>198</v>
      </c>
    </row>
    <row r="809" spans="1:8" ht="19.5">
      <c r="A809" s="189"/>
      <c r="B809" s="192" t="s">
        <v>203</v>
      </c>
      <c r="C809" s="193"/>
      <c r="D809" s="254">
        <v>0.11</v>
      </c>
      <c r="E809" s="191" t="s">
        <v>189</v>
      </c>
      <c r="F809" s="195">
        <v>287.5</v>
      </c>
      <c r="G809" s="256">
        <f t="shared" si="32"/>
        <v>31.625</v>
      </c>
      <c r="H809" s="230" t="s">
        <v>198</v>
      </c>
    </row>
    <row r="810" spans="1:8" ht="19.5">
      <c r="A810" s="189"/>
      <c r="B810" s="192" t="s">
        <v>279</v>
      </c>
      <c r="C810" s="193"/>
      <c r="D810" s="194">
        <v>6</v>
      </c>
      <c r="E810" s="191" t="s">
        <v>206</v>
      </c>
      <c r="F810" s="199">
        <v>0.0144</v>
      </c>
      <c r="G810" s="256">
        <f t="shared" si="32"/>
        <v>0.0864</v>
      </c>
      <c r="H810" s="189"/>
    </row>
    <row r="811" spans="1:8" ht="19.5">
      <c r="A811" s="189"/>
      <c r="B811" s="192" t="s">
        <v>493</v>
      </c>
      <c r="C811" s="193"/>
      <c r="D811" s="198">
        <v>0.1</v>
      </c>
      <c r="E811" s="191" t="s">
        <v>201</v>
      </c>
      <c r="F811" s="257">
        <v>28</v>
      </c>
      <c r="G811" s="256">
        <f t="shared" si="32"/>
        <v>2.8000000000000003</v>
      </c>
      <c r="H811" s="189"/>
    </row>
    <row r="812" spans="1:8" ht="19.5">
      <c r="A812" s="189"/>
      <c r="B812" s="192" t="s">
        <v>331</v>
      </c>
      <c r="C812" s="193"/>
      <c r="D812" s="198">
        <v>0.02</v>
      </c>
      <c r="E812" s="191" t="s">
        <v>201</v>
      </c>
      <c r="F812" s="195">
        <v>150</v>
      </c>
      <c r="G812" s="256">
        <f t="shared" si="32"/>
        <v>3</v>
      </c>
      <c r="H812" s="189"/>
    </row>
    <row r="813" spans="1:8" ht="20.25">
      <c r="A813" s="200"/>
      <c r="B813" s="201"/>
      <c r="C813" s="202" t="s">
        <v>494</v>
      </c>
      <c r="D813" s="203">
        <v>1</v>
      </c>
      <c r="E813" s="204" t="s">
        <v>190</v>
      </c>
      <c r="F813" s="205" t="s">
        <v>208</v>
      </c>
      <c r="G813" s="206">
        <f>SUM(G807:G812)</f>
        <v>187.21020000000001</v>
      </c>
      <c r="H813" s="207" t="s">
        <v>209</v>
      </c>
    </row>
    <row r="814" spans="1:8" ht="20.25">
      <c r="A814" s="208">
        <v>10.21</v>
      </c>
      <c r="B814" s="187" t="s">
        <v>724</v>
      </c>
      <c r="C814" s="188"/>
      <c r="D814" s="189"/>
      <c r="E814" s="189"/>
      <c r="F814" s="190"/>
      <c r="G814" s="191" t="s">
        <v>198</v>
      </c>
      <c r="H814" s="189"/>
    </row>
    <row r="815" spans="1:8" ht="19.5">
      <c r="A815" s="189"/>
      <c r="B815" s="192" t="s">
        <v>495</v>
      </c>
      <c r="C815" s="193"/>
      <c r="D815" s="198">
        <v>1.05</v>
      </c>
      <c r="E815" s="191" t="s">
        <v>190</v>
      </c>
      <c r="F815" s="195">
        <v>124.67</v>
      </c>
      <c r="G815" s="256">
        <f aca="true" t="shared" si="33" ref="G815:G820">D815*F815</f>
        <v>130.9035</v>
      </c>
      <c r="H815" s="231" t="s">
        <v>492</v>
      </c>
    </row>
    <row r="816" spans="1:8" ht="19.5">
      <c r="A816" s="189"/>
      <c r="B816" s="192" t="s">
        <v>245</v>
      </c>
      <c r="C816" s="193"/>
      <c r="D816" s="198">
        <v>21.51</v>
      </c>
      <c r="E816" s="191" t="s">
        <v>201</v>
      </c>
      <c r="F816" s="195">
        <v>2.08</v>
      </c>
      <c r="G816" s="256">
        <f t="shared" si="33"/>
        <v>44.74080000000001</v>
      </c>
      <c r="H816" s="231" t="s">
        <v>198</v>
      </c>
    </row>
    <row r="817" spans="1:8" ht="19.5">
      <c r="A817" s="189"/>
      <c r="B817" s="192" t="s">
        <v>203</v>
      </c>
      <c r="C817" s="188"/>
      <c r="D817" s="254">
        <v>0.11</v>
      </c>
      <c r="E817" s="191" t="s">
        <v>189</v>
      </c>
      <c r="F817" s="195">
        <v>287.5</v>
      </c>
      <c r="G817" s="256">
        <f t="shared" si="33"/>
        <v>31.625</v>
      </c>
      <c r="H817" s="230" t="s">
        <v>198</v>
      </c>
    </row>
    <row r="818" spans="1:8" ht="19.5">
      <c r="A818" s="209"/>
      <c r="B818" s="250" t="s">
        <v>279</v>
      </c>
      <c r="C818" s="193"/>
      <c r="D818" s="285">
        <v>6</v>
      </c>
      <c r="E818" s="211" t="s">
        <v>206</v>
      </c>
      <c r="F818" s="286">
        <v>0.0144</v>
      </c>
      <c r="G818" s="273">
        <f t="shared" si="33"/>
        <v>0.0864</v>
      </c>
      <c r="H818" s="209"/>
    </row>
    <row r="819" spans="1:8" ht="19.5">
      <c r="A819" s="189"/>
      <c r="B819" s="192" t="s">
        <v>493</v>
      </c>
      <c r="C819" s="193"/>
      <c r="D819" s="198">
        <v>0.1</v>
      </c>
      <c r="E819" s="191" t="s">
        <v>201</v>
      </c>
      <c r="F819" s="257">
        <v>28</v>
      </c>
      <c r="G819" s="256">
        <f t="shared" si="33"/>
        <v>2.8000000000000003</v>
      </c>
      <c r="H819" s="189"/>
    </row>
    <row r="820" spans="1:8" ht="19.5">
      <c r="A820" s="189"/>
      <c r="B820" s="192" t="s">
        <v>331</v>
      </c>
      <c r="C820" s="193"/>
      <c r="D820" s="198">
        <v>0.02</v>
      </c>
      <c r="E820" s="191" t="s">
        <v>201</v>
      </c>
      <c r="F820" s="195">
        <v>150</v>
      </c>
      <c r="G820" s="256">
        <f t="shared" si="33"/>
        <v>3</v>
      </c>
      <c r="H820" s="189"/>
    </row>
    <row r="821" spans="1:8" ht="20.25">
      <c r="A821" s="200"/>
      <c r="B821" s="201"/>
      <c r="C821" s="202" t="s">
        <v>496</v>
      </c>
      <c r="D821" s="203">
        <v>1</v>
      </c>
      <c r="E821" s="204" t="s">
        <v>190</v>
      </c>
      <c r="F821" s="205" t="s">
        <v>208</v>
      </c>
      <c r="G821" s="206">
        <f>SUM(G815:G820)</f>
        <v>213.15570000000002</v>
      </c>
      <c r="H821" s="207" t="s">
        <v>209</v>
      </c>
    </row>
    <row r="822" spans="1:8" ht="20.25" customHeight="1">
      <c r="A822" s="208">
        <v>10.22</v>
      </c>
      <c r="B822" s="284" t="s">
        <v>725</v>
      </c>
      <c r="C822" s="193"/>
      <c r="D822" s="209"/>
      <c r="E822" s="209"/>
      <c r="F822" s="210"/>
      <c r="G822" s="211" t="s">
        <v>198</v>
      </c>
      <c r="H822" s="209"/>
    </row>
    <row r="823" spans="1:8" ht="20.25" customHeight="1">
      <c r="A823" s="189"/>
      <c r="B823" s="192" t="s">
        <v>497</v>
      </c>
      <c r="C823" s="193"/>
      <c r="D823" s="198">
        <v>1.05</v>
      </c>
      <c r="E823" s="191" t="s">
        <v>190</v>
      </c>
      <c r="F823" s="195">
        <v>155.84</v>
      </c>
      <c r="G823" s="256">
        <f aca="true" t="shared" si="34" ref="G823:G828">D823*F823</f>
        <v>163.632</v>
      </c>
      <c r="H823" s="231" t="s">
        <v>492</v>
      </c>
    </row>
    <row r="824" spans="1:8" ht="20.25" customHeight="1">
      <c r="A824" s="189"/>
      <c r="B824" s="192" t="s">
        <v>245</v>
      </c>
      <c r="C824" s="193"/>
      <c r="D824" s="198">
        <v>21.51</v>
      </c>
      <c r="E824" s="191" t="s">
        <v>201</v>
      </c>
      <c r="F824" s="195">
        <v>2.08</v>
      </c>
      <c r="G824" s="256">
        <f t="shared" si="34"/>
        <v>44.74080000000001</v>
      </c>
      <c r="H824" s="231" t="s">
        <v>198</v>
      </c>
    </row>
    <row r="825" spans="1:8" ht="20.25" customHeight="1">
      <c r="A825" s="189"/>
      <c r="B825" s="192" t="s">
        <v>203</v>
      </c>
      <c r="C825" s="193"/>
      <c r="D825" s="254">
        <v>0.11</v>
      </c>
      <c r="E825" s="191" t="s">
        <v>189</v>
      </c>
      <c r="F825" s="195">
        <v>287.5</v>
      </c>
      <c r="G825" s="256">
        <f t="shared" si="34"/>
        <v>31.625</v>
      </c>
      <c r="H825" s="230" t="s">
        <v>198</v>
      </c>
    </row>
    <row r="826" spans="1:8" ht="20.25" customHeight="1">
      <c r="A826" s="189"/>
      <c r="B826" s="192" t="s">
        <v>279</v>
      </c>
      <c r="C826" s="193"/>
      <c r="D826" s="194">
        <v>6</v>
      </c>
      <c r="E826" s="191" t="s">
        <v>206</v>
      </c>
      <c r="F826" s="199">
        <v>0.0144</v>
      </c>
      <c r="G826" s="256">
        <f t="shared" si="34"/>
        <v>0.0864</v>
      </c>
      <c r="H826" s="189"/>
    </row>
    <row r="827" spans="1:8" ht="20.25" customHeight="1">
      <c r="A827" s="189"/>
      <c r="B827" s="192" t="s">
        <v>493</v>
      </c>
      <c r="C827" s="193"/>
      <c r="D827" s="198">
        <v>0.1</v>
      </c>
      <c r="E827" s="191" t="s">
        <v>201</v>
      </c>
      <c r="F827" s="257">
        <v>28</v>
      </c>
      <c r="G827" s="256">
        <f t="shared" si="34"/>
        <v>2.8000000000000003</v>
      </c>
      <c r="H827" s="189"/>
    </row>
    <row r="828" spans="1:8" ht="20.25" customHeight="1">
      <c r="A828" s="189"/>
      <c r="B828" s="192" t="s">
        <v>331</v>
      </c>
      <c r="C828" s="193"/>
      <c r="D828" s="198">
        <v>0.02</v>
      </c>
      <c r="E828" s="191" t="s">
        <v>201</v>
      </c>
      <c r="F828" s="195">
        <v>150</v>
      </c>
      <c r="G828" s="256">
        <f t="shared" si="34"/>
        <v>3</v>
      </c>
      <c r="H828" s="189"/>
    </row>
    <row r="829" spans="1:8" ht="20.25" customHeight="1">
      <c r="A829" s="288"/>
      <c r="B829" s="289"/>
      <c r="C829" s="290" t="s">
        <v>498</v>
      </c>
      <c r="D829" s="291">
        <v>1</v>
      </c>
      <c r="E829" s="292" t="s">
        <v>190</v>
      </c>
      <c r="F829" s="293" t="s">
        <v>208</v>
      </c>
      <c r="G829" s="294">
        <f>SUM(G823:G828)</f>
        <v>245.88420000000002</v>
      </c>
      <c r="H829" s="295" t="s">
        <v>209</v>
      </c>
    </row>
    <row r="830" spans="1:8" ht="20.25" customHeight="1">
      <c r="A830" s="208">
        <v>10.23</v>
      </c>
      <c r="B830" s="187" t="s">
        <v>726</v>
      </c>
      <c r="C830" s="188"/>
      <c r="D830" s="189"/>
      <c r="E830" s="189"/>
      <c r="F830" s="190"/>
      <c r="G830" s="191" t="s">
        <v>198</v>
      </c>
      <c r="H830" s="189"/>
    </row>
    <row r="831" spans="1:8" ht="20.25" customHeight="1">
      <c r="A831" s="189"/>
      <c r="B831" s="192" t="s">
        <v>499</v>
      </c>
      <c r="C831" s="193"/>
      <c r="D831" s="198">
        <v>1.05</v>
      </c>
      <c r="E831" s="191" t="s">
        <v>190</v>
      </c>
      <c r="F831" s="195">
        <v>198.8</v>
      </c>
      <c r="G831" s="256">
        <f aca="true" t="shared" si="35" ref="G831:G836">D831*F831</f>
        <v>208.74</v>
      </c>
      <c r="H831" s="231" t="s">
        <v>492</v>
      </c>
    </row>
    <row r="832" spans="1:8" ht="20.25" customHeight="1">
      <c r="A832" s="189"/>
      <c r="B832" s="192" t="s">
        <v>245</v>
      </c>
      <c r="C832" s="193"/>
      <c r="D832" s="198">
        <v>21.51</v>
      </c>
      <c r="E832" s="191" t="s">
        <v>201</v>
      </c>
      <c r="F832" s="195">
        <v>2.08</v>
      </c>
      <c r="G832" s="256">
        <f t="shared" si="35"/>
        <v>44.74080000000001</v>
      </c>
      <c r="H832" s="231" t="s">
        <v>198</v>
      </c>
    </row>
    <row r="833" spans="1:8" ht="20.25" customHeight="1">
      <c r="A833" s="189"/>
      <c r="B833" s="192" t="s">
        <v>203</v>
      </c>
      <c r="C833" s="193"/>
      <c r="D833" s="254">
        <v>0.11</v>
      </c>
      <c r="E833" s="191" t="s">
        <v>189</v>
      </c>
      <c r="F833" s="195">
        <v>287.5</v>
      </c>
      <c r="G833" s="256">
        <f t="shared" si="35"/>
        <v>31.625</v>
      </c>
      <c r="H833" s="230" t="s">
        <v>198</v>
      </c>
    </row>
    <row r="834" spans="1:8" ht="20.25" customHeight="1">
      <c r="A834" s="189"/>
      <c r="B834" s="192" t="s">
        <v>279</v>
      </c>
      <c r="C834" s="193"/>
      <c r="D834" s="194">
        <v>6</v>
      </c>
      <c r="E834" s="191" t="s">
        <v>206</v>
      </c>
      <c r="F834" s="199">
        <v>0.0144</v>
      </c>
      <c r="G834" s="256">
        <f t="shared" si="35"/>
        <v>0.0864</v>
      </c>
      <c r="H834" s="189"/>
    </row>
    <row r="835" spans="1:8" ht="20.25" customHeight="1">
      <c r="A835" s="189"/>
      <c r="B835" s="192" t="s">
        <v>493</v>
      </c>
      <c r="C835" s="193"/>
      <c r="D835" s="198">
        <v>0.1</v>
      </c>
      <c r="E835" s="191" t="s">
        <v>201</v>
      </c>
      <c r="F835" s="257">
        <v>28</v>
      </c>
      <c r="G835" s="256">
        <f t="shared" si="35"/>
        <v>2.8000000000000003</v>
      </c>
      <c r="H835" s="189"/>
    </row>
    <row r="836" spans="1:8" ht="20.25" customHeight="1">
      <c r="A836" s="189"/>
      <c r="B836" s="192" t="s">
        <v>331</v>
      </c>
      <c r="C836" s="193"/>
      <c r="D836" s="198">
        <v>0.02</v>
      </c>
      <c r="E836" s="191" t="s">
        <v>201</v>
      </c>
      <c r="F836" s="195">
        <v>150</v>
      </c>
      <c r="G836" s="256">
        <f t="shared" si="35"/>
        <v>3</v>
      </c>
      <c r="H836" s="189"/>
    </row>
    <row r="837" spans="1:8" ht="20.25" customHeight="1">
      <c r="A837" s="288"/>
      <c r="B837" s="289"/>
      <c r="C837" s="290" t="s">
        <v>500</v>
      </c>
      <c r="D837" s="291">
        <v>1</v>
      </c>
      <c r="E837" s="292" t="s">
        <v>190</v>
      </c>
      <c r="F837" s="293" t="s">
        <v>208</v>
      </c>
      <c r="G837" s="294">
        <f>SUM(G831:G835)</f>
        <v>287.9922000000001</v>
      </c>
      <c r="H837" s="295" t="s">
        <v>209</v>
      </c>
    </row>
    <row r="838" spans="1:8" ht="20.25" customHeight="1">
      <c r="A838" s="296">
        <v>10.24</v>
      </c>
      <c r="B838" s="187" t="s">
        <v>727</v>
      </c>
      <c r="C838" s="188"/>
      <c r="D838" s="189"/>
      <c r="E838" s="189"/>
      <c r="F838" s="190"/>
      <c r="G838" s="191" t="s">
        <v>198</v>
      </c>
      <c r="H838" s="189"/>
    </row>
    <row r="839" spans="1:8" ht="20.25" customHeight="1">
      <c r="A839" s="189"/>
      <c r="B839" s="192" t="s">
        <v>501</v>
      </c>
      <c r="C839" s="193"/>
      <c r="D839" s="198">
        <v>1.05</v>
      </c>
      <c r="E839" s="191" t="s">
        <v>190</v>
      </c>
      <c r="F839" s="195">
        <v>250</v>
      </c>
      <c r="G839" s="256">
        <f aca="true" t="shared" si="36" ref="G839:G844">D839*F839</f>
        <v>262.5</v>
      </c>
      <c r="H839" s="231" t="s">
        <v>492</v>
      </c>
    </row>
    <row r="840" spans="1:8" ht="20.25" customHeight="1">
      <c r="A840" s="189"/>
      <c r="B840" s="192" t="s">
        <v>245</v>
      </c>
      <c r="C840" s="193"/>
      <c r="D840" s="198">
        <v>21.51</v>
      </c>
      <c r="E840" s="191" t="s">
        <v>201</v>
      </c>
      <c r="F840" s="195">
        <v>2.08</v>
      </c>
      <c r="G840" s="256">
        <f t="shared" si="36"/>
        <v>44.74080000000001</v>
      </c>
      <c r="H840" s="231" t="s">
        <v>198</v>
      </c>
    </row>
    <row r="841" spans="1:8" ht="20.25" customHeight="1">
      <c r="A841" s="189"/>
      <c r="B841" s="192" t="s">
        <v>203</v>
      </c>
      <c r="C841" s="193"/>
      <c r="D841" s="254">
        <v>0.11</v>
      </c>
      <c r="E841" s="191" t="s">
        <v>189</v>
      </c>
      <c r="F841" s="195">
        <v>287.5</v>
      </c>
      <c r="G841" s="256">
        <f t="shared" si="36"/>
        <v>31.625</v>
      </c>
      <c r="H841" s="230" t="s">
        <v>198</v>
      </c>
    </row>
    <row r="842" spans="1:8" ht="20.25" customHeight="1">
      <c r="A842" s="189"/>
      <c r="B842" s="192" t="s">
        <v>279</v>
      </c>
      <c r="C842" s="193"/>
      <c r="D842" s="194">
        <v>6</v>
      </c>
      <c r="E842" s="191" t="s">
        <v>206</v>
      </c>
      <c r="F842" s="199">
        <v>0.0144</v>
      </c>
      <c r="G842" s="256">
        <f t="shared" si="36"/>
        <v>0.0864</v>
      </c>
      <c r="H842" s="189"/>
    </row>
    <row r="843" spans="1:8" ht="20.25" customHeight="1">
      <c r="A843" s="189"/>
      <c r="B843" s="192" t="s">
        <v>493</v>
      </c>
      <c r="C843" s="193"/>
      <c r="D843" s="198">
        <v>0.1</v>
      </c>
      <c r="E843" s="191" t="s">
        <v>201</v>
      </c>
      <c r="F843" s="257">
        <v>28</v>
      </c>
      <c r="G843" s="256">
        <f t="shared" si="36"/>
        <v>2.8000000000000003</v>
      </c>
      <c r="H843" s="189"/>
    </row>
    <row r="844" spans="1:8" ht="20.25" customHeight="1">
      <c r="A844" s="189"/>
      <c r="B844" s="192" t="s">
        <v>331</v>
      </c>
      <c r="C844" s="193"/>
      <c r="D844" s="198">
        <v>0.02</v>
      </c>
      <c r="E844" s="191" t="s">
        <v>201</v>
      </c>
      <c r="F844" s="195">
        <v>150</v>
      </c>
      <c r="G844" s="256">
        <f t="shared" si="36"/>
        <v>3</v>
      </c>
      <c r="H844" s="189"/>
    </row>
    <row r="845" spans="1:8" ht="20.25" customHeight="1">
      <c r="A845" s="288"/>
      <c r="B845" s="289"/>
      <c r="C845" s="290" t="s">
        <v>502</v>
      </c>
      <c r="D845" s="291">
        <v>1</v>
      </c>
      <c r="E845" s="292" t="s">
        <v>190</v>
      </c>
      <c r="F845" s="293" t="s">
        <v>208</v>
      </c>
      <c r="G845" s="294">
        <f>SUM(G839:G844)</f>
        <v>344.7522000000001</v>
      </c>
      <c r="H845" s="295" t="s">
        <v>209</v>
      </c>
    </row>
    <row r="846" spans="1:8" ht="20.25" customHeight="1">
      <c r="A846" s="296">
        <v>10.25</v>
      </c>
      <c r="B846" s="187" t="s">
        <v>728</v>
      </c>
      <c r="C846" s="188"/>
      <c r="D846" s="189"/>
      <c r="E846" s="189"/>
      <c r="F846" s="190"/>
      <c r="G846" s="191" t="s">
        <v>198</v>
      </c>
      <c r="H846" s="189"/>
    </row>
    <row r="847" spans="1:8" ht="20.25" customHeight="1">
      <c r="A847" s="189"/>
      <c r="B847" s="192" t="s">
        <v>503</v>
      </c>
      <c r="C847" s="193"/>
      <c r="D847" s="198">
        <v>1.05</v>
      </c>
      <c r="E847" s="191" t="s">
        <v>190</v>
      </c>
      <c r="F847" s="195">
        <v>320</v>
      </c>
      <c r="G847" s="256">
        <f aca="true" t="shared" si="37" ref="G847:G852">D847*F847</f>
        <v>336</v>
      </c>
      <c r="H847" s="231" t="s">
        <v>492</v>
      </c>
    </row>
    <row r="848" spans="1:8" ht="20.25" customHeight="1">
      <c r="A848" s="189"/>
      <c r="B848" s="192" t="s">
        <v>245</v>
      </c>
      <c r="C848" s="193"/>
      <c r="D848" s="198">
        <v>21.51</v>
      </c>
      <c r="E848" s="191" t="s">
        <v>201</v>
      </c>
      <c r="F848" s="195">
        <v>2.08</v>
      </c>
      <c r="G848" s="256">
        <f t="shared" si="37"/>
        <v>44.74080000000001</v>
      </c>
      <c r="H848" s="231" t="s">
        <v>198</v>
      </c>
    </row>
    <row r="849" spans="1:8" ht="20.25" customHeight="1">
      <c r="A849" s="189"/>
      <c r="B849" s="192" t="s">
        <v>203</v>
      </c>
      <c r="C849" s="193"/>
      <c r="D849" s="254">
        <v>0.11</v>
      </c>
      <c r="E849" s="191" t="s">
        <v>189</v>
      </c>
      <c r="F849" s="195">
        <v>287.5</v>
      </c>
      <c r="G849" s="256">
        <f t="shared" si="37"/>
        <v>31.625</v>
      </c>
      <c r="H849" s="230" t="s">
        <v>198</v>
      </c>
    </row>
    <row r="850" spans="1:8" ht="20.25" customHeight="1">
      <c r="A850" s="189"/>
      <c r="B850" s="192" t="s">
        <v>279</v>
      </c>
      <c r="C850" s="193"/>
      <c r="D850" s="194">
        <v>6</v>
      </c>
      <c r="E850" s="191" t="s">
        <v>206</v>
      </c>
      <c r="F850" s="199">
        <v>0.0144</v>
      </c>
      <c r="G850" s="256">
        <f t="shared" si="37"/>
        <v>0.0864</v>
      </c>
      <c r="H850" s="189"/>
    </row>
    <row r="851" spans="1:8" ht="20.25" customHeight="1">
      <c r="A851" s="189"/>
      <c r="B851" s="192" t="s">
        <v>493</v>
      </c>
      <c r="C851" s="193"/>
      <c r="D851" s="198">
        <v>0.1</v>
      </c>
      <c r="E851" s="191" t="s">
        <v>201</v>
      </c>
      <c r="F851" s="257">
        <v>28</v>
      </c>
      <c r="G851" s="256">
        <f t="shared" si="37"/>
        <v>2.8000000000000003</v>
      </c>
      <c r="H851" s="189"/>
    </row>
    <row r="852" spans="1:8" ht="20.25" customHeight="1">
      <c r="A852" s="189"/>
      <c r="B852" s="192" t="s">
        <v>331</v>
      </c>
      <c r="C852" s="193"/>
      <c r="D852" s="198">
        <v>0.02</v>
      </c>
      <c r="E852" s="191" t="s">
        <v>201</v>
      </c>
      <c r="F852" s="195">
        <v>150</v>
      </c>
      <c r="G852" s="256">
        <f t="shared" si="37"/>
        <v>3</v>
      </c>
      <c r="H852" s="189"/>
    </row>
    <row r="853" spans="1:8" ht="20.25" customHeight="1">
      <c r="A853" s="265"/>
      <c r="B853" s="259"/>
      <c r="C853" s="260" t="s">
        <v>502</v>
      </c>
      <c r="D853" s="261">
        <v>1</v>
      </c>
      <c r="E853" s="262" t="s">
        <v>190</v>
      </c>
      <c r="F853" s="263" t="s">
        <v>208</v>
      </c>
      <c r="G853" s="264">
        <f>SUM(G847:G852)</f>
        <v>418.2522000000001</v>
      </c>
      <c r="H853" s="274" t="s">
        <v>209</v>
      </c>
    </row>
    <row r="854" spans="1:8" ht="20.25" customHeight="1">
      <c r="A854" s="189"/>
      <c r="B854" s="192"/>
      <c r="C854" s="188"/>
      <c r="D854" s="194"/>
      <c r="E854" s="191"/>
      <c r="F854" s="212"/>
      <c r="G854" s="213"/>
      <c r="H854" s="214"/>
    </row>
    <row r="855" spans="1:8" ht="20.25" customHeight="1">
      <c r="A855" s="200"/>
      <c r="B855" s="201"/>
      <c r="C855" s="202"/>
      <c r="D855" s="203"/>
      <c r="E855" s="204"/>
      <c r="F855" s="205"/>
      <c r="G855" s="206"/>
      <c r="H855" s="207"/>
    </row>
    <row r="856" spans="1:8" ht="20.25">
      <c r="A856" s="296">
        <v>10.26</v>
      </c>
      <c r="B856" s="284" t="s">
        <v>729</v>
      </c>
      <c r="C856" s="193"/>
      <c r="D856" s="209"/>
      <c r="E856" s="209"/>
      <c r="F856" s="210"/>
      <c r="G856" s="211" t="s">
        <v>198</v>
      </c>
      <c r="H856" s="209"/>
    </row>
    <row r="857" spans="1:8" ht="19.5">
      <c r="A857" s="189"/>
      <c r="B857" s="192" t="s">
        <v>504</v>
      </c>
      <c r="C857" s="193"/>
      <c r="D857" s="198">
        <v>1.1</v>
      </c>
      <c r="E857" s="191" t="s">
        <v>190</v>
      </c>
      <c r="F857" s="195">
        <v>560</v>
      </c>
      <c r="G857" s="256">
        <f>D857*F857</f>
        <v>616</v>
      </c>
      <c r="H857" s="231" t="s">
        <v>329</v>
      </c>
    </row>
    <row r="858" spans="1:8" ht="19.5">
      <c r="A858" s="189"/>
      <c r="B858" s="192" t="s">
        <v>245</v>
      </c>
      <c r="C858" s="193"/>
      <c r="D858" s="198">
        <v>21.51</v>
      </c>
      <c r="E858" s="191" t="s">
        <v>201</v>
      </c>
      <c r="F858" s="195">
        <v>2.08</v>
      </c>
      <c r="G858" s="256">
        <f>D858*F858</f>
        <v>44.74080000000001</v>
      </c>
      <c r="H858" s="230" t="s">
        <v>198</v>
      </c>
    </row>
    <row r="859" spans="1:8" ht="19.5">
      <c r="A859" s="189"/>
      <c r="B859" s="192" t="s">
        <v>203</v>
      </c>
      <c r="C859" s="193"/>
      <c r="D859" s="254">
        <v>0.11</v>
      </c>
      <c r="E859" s="191" t="s">
        <v>189</v>
      </c>
      <c r="F859" s="195">
        <v>287.5</v>
      </c>
      <c r="G859" s="256">
        <f>D859*F859</f>
        <v>31.625</v>
      </c>
      <c r="H859" s="189"/>
    </row>
    <row r="860" spans="1:8" ht="19.5">
      <c r="A860" s="189"/>
      <c r="B860" s="192" t="s">
        <v>279</v>
      </c>
      <c r="C860" s="193"/>
      <c r="D860" s="194">
        <v>6</v>
      </c>
      <c r="E860" s="191" t="s">
        <v>206</v>
      </c>
      <c r="F860" s="199">
        <v>0.0144</v>
      </c>
      <c r="G860" s="256">
        <f>D860*F860</f>
        <v>0.0864</v>
      </c>
      <c r="H860" s="189"/>
    </row>
    <row r="861" spans="1:8" ht="19.5">
      <c r="A861" s="209"/>
      <c r="B861" s="250" t="s">
        <v>505</v>
      </c>
      <c r="C861" s="193"/>
      <c r="D861" s="283">
        <v>0.1</v>
      </c>
      <c r="E861" s="211" t="s">
        <v>201</v>
      </c>
      <c r="F861" s="329">
        <v>28</v>
      </c>
      <c r="G861" s="273">
        <f>D861*F861</f>
        <v>2.8000000000000003</v>
      </c>
      <c r="H861" s="209"/>
    </row>
    <row r="862" spans="1:8" ht="20.25">
      <c r="A862" s="200"/>
      <c r="B862" s="201"/>
      <c r="C862" s="202" t="s">
        <v>506</v>
      </c>
      <c r="D862" s="203">
        <v>1</v>
      </c>
      <c r="E862" s="204" t="s">
        <v>190</v>
      </c>
      <c r="F862" s="205" t="s">
        <v>208</v>
      </c>
      <c r="G862" s="206">
        <f>SUM(G857:G861)</f>
        <v>695.2522</v>
      </c>
      <c r="H862" s="207" t="s">
        <v>209</v>
      </c>
    </row>
    <row r="863" spans="1:8" ht="20.25">
      <c r="A863" s="296">
        <v>10.27</v>
      </c>
      <c r="B863" s="187" t="s">
        <v>730</v>
      </c>
      <c r="C863" s="188"/>
      <c r="D863" s="189"/>
      <c r="E863" s="189"/>
      <c r="F863" s="190"/>
      <c r="G863" s="191" t="s">
        <v>198</v>
      </c>
      <c r="H863" s="189"/>
    </row>
    <row r="864" spans="1:8" ht="19.5">
      <c r="A864" s="189"/>
      <c r="B864" s="192" t="s">
        <v>507</v>
      </c>
      <c r="C864" s="193"/>
      <c r="D864" s="198">
        <v>1.1</v>
      </c>
      <c r="E864" s="191" t="s">
        <v>190</v>
      </c>
      <c r="F864" s="195">
        <v>620</v>
      </c>
      <c r="G864" s="256">
        <f>D864*F864</f>
        <v>682</v>
      </c>
      <c r="H864" s="231" t="s">
        <v>329</v>
      </c>
    </row>
    <row r="865" spans="1:8" ht="19.5">
      <c r="A865" s="189"/>
      <c r="B865" s="192" t="s">
        <v>245</v>
      </c>
      <c r="C865" s="193"/>
      <c r="D865" s="198">
        <v>21.51</v>
      </c>
      <c r="E865" s="191" t="s">
        <v>201</v>
      </c>
      <c r="F865" s="195">
        <v>2.08</v>
      </c>
      <c r="G865" s="256">
        <f>D865*F865</f>
        <v>44.74080000000001</v>
      </c>
      <c r="H865" s="230" t="s">
        <v>198</v>
      </c>
    </row>
    <row r="866" spans="1:8" ht="19.5">
      <c r="A866" s="189"/>
      <c r="B866" s="192" t="s">
        <v>203</v>
      </c>
      <c r="C866" s="193"/>
      <c r="D866" s="254">
        <v>0.11</v>
      </c>
      <c r="E866" s="191" t="s">
        <v>189</v>
      </c>
      <c r="F866" s="195">
        <v>287.5</v>
      </c>
      <c r="G866" s="256">
        <f>D866*F866</f>
        <v>31.625</v>
      </c>
      <c r="H866" s="189"/>
    </row>
    <row r="867" spans="1:8" ht="19.5">
      <c r="A867" s="189"/>
      <c r="B867" s="192" t="s">
        <v>279</v>
      </c>
      <c r="C867" s="193"/>
      <c r="D867" s="194">
        <v>6</v>
      </c>
      <c r="E867" s="191" t="s">
        <v>206</v>
      </c>
      <c r="F867" s="199">
        <v>0.0144</v>
      </c>
      <c r="G867" s="256">
        <f>D867*F867</f>
        <v>0.0864</v>
      </c>
      <c r="H867" s="189"/>
    </row>
    <row r="868" spans="1:8" ht="19.5">
      <c r="A868" s="189"/>
      <c r="B868" s="192" t="s">
        <v>505</v>
      </c>
      <c r="C868" s="193"/>
      <c r="D868" s="198">
        <v>0.1</v>
      </c>
      <c r="E868" s="191" t="s">
        <v>201</v>
      </c>
      <c r="F868" s="257">
        <v>28</v>
      </c>
      <c r="G868" s="256">
        <f>D868*F868</f>
        <v>2.8000000000000003</v>
      </c>
      <c r="H868" s="189"/>
    </row>
    <row r="869" spans="1:8" ht="20.25">
      <c r="A869" s="288"/>
      <c r="B869" s="289"/>
      <c r="C869" s="290" t="s">
        <v>508</v>
      </c>
      <c r="D869" s="291">
        <v>1</v>
      </c>
      <c r="E869" s="292" t="s">
        <v>190</v>
      </c>
      <c r="F869" s="293" t="s">
        <v>208</v>
      </c>
      <c r="G869" s="294">
        <f>SUM(G864:G868)</f>
        <v>761.2522</v>
      </c>
      <c r="H869" s="295" t="s">
        <v>209</v>
      </c>
    </row>
    <row r="870" spans="1:8" ht="20.25">
      <c r="A870" s="296">
        <v>10.28</v>
      </c>
      <c r="B870" s="187" t="s">
        <v>731</v>
      </c>
      <c r="C870" s="188"/>
      <c r="D870" s="189"/>
      <c r="E870" s="189"/>
      <c r="F870" s="190"/>
      <c r="G870" s="191" t="s">
        <v>198</v>
      </c>
      <c r="H870" s="189"/>
    </row>
    <row r="871" spans="1:8" ht="19.5">
      <c r="A871" s="189"/>
      <c r="B871" s="192" t="s">
        <v>509</v>
      </c>
      <c r="C871" s="193"/>
      <c r="D871" s="198">
        <v>1.1</v>
      </c>
      <c r="E871" s="191" t="s">
        <v>190</v>
      </c>
      <c r="F871" s="195">
        <v>390</v>
      </c>
      <c r="G871" s="256">
        <f>D871*F871</f>
        <v>429.00000000000006</v>
      </c>
      <c r="H871" s="231" t="s">
        <v>329</v>
      </c>
    </row>
    <row r="872" spans="1:8" ht="19.5">
      <c r="A872" s="189"/>
      <c r="B872" s="192" t="s">
        <v>245</v>
      </c>
      <c r="C872" s="193"/>
      <c r="D872" s="198">
        <v>21.51</v>
      </c>
      <c r="E872" s="191" t="s">
        <v>201</v>
      </c>
      <c r="F872" s="195">
        <v>2.08</v>
      </c>
      <c r="G872" s="256">
        <f>D872*F872</f>
        <v>44.74080000000001</v>
      </c>
      <c r="H872" s="230" t="s">
        <v>198</v>
      </c>
    </row>
    <row r="873" spans="1:8" ht="19.5">
      <c r="A873" s="189"/>
      <c r="B873" s="192" t="s">
        <v>203</v>
      </c>
      <c r="C873" s="193"/>
      <c r="D873" s="254">
        <v>0.11</v>
      </c>
      <c r="E873" s="191" t="s">
        <v>189</v>
      </c>
      <c r="F873" s="195">
        <v>287.5</v>
      </c>
      <c r="G873" s="256">
        <f>D873*F873</f>
        <v>31.625</v>
      </c>
      <c r="H873" s="189"/>
    </row>
    <row r="874" spans="1:8" ht="19.5">
      <c r="A874" s="189"/>
      <c r="B874" s="192" t="s">
        <v>279</v>
      </c>
      <c r="C874" s="193"/>
      <c r="D874" s="194">
        <v>6</v>
      </c>
      <c r="E874" s="191" t="s">
        <v>206</v>
      </c>
      <c r="F874" s="199">
        <v>0.0144</v>
      </c>
      <c r="G874" s="256">
        <f>D874*F874</f>
        <v>0.0864</v>
      </c>
      <c r="H874" s="189"/>
    </row>
    <row r="875" spans="1:8" ht="19.5">
      <c r="A875" s="189"/>
      <c r="B875" s="192" t="s">
        <v>505</v>
      </c>
      <c r="C875" s="193"/>
      <c r="D875" s="198">
        <v>0.1</v>
      </c>
      <c r="E875" s="191" t="s">
        <v>201</v>
      </c>
      <c r="F875" s="257">
        <v>28</v>
      </c>
      <c r="G875" s="256">
        <f>D875*F875</f>
        <v>2.8000000000000003</v>
      </c>
      <c r="H875" s="189"/>
    </row>
    <row r="876" spans="1:8" ht="20.25">
      <c r="A876" s="288"/>
      <c r="B876" s="289"/>
      <c r="C876" s="290" t="s">
        <v>510</v>
      </c>
      <c r="D876" s="291">
        <v>1</v>
      </c>
      <c r="E876" s="292" t="s">
        <v>190</v>
      </c>
      <c r="F876" s="293" t="s">
        <v>208</v>
      </c>
      <c r="G876" s="294">
        <f>SUM(G871:G875)</f>
        <v>508.2522000000001</v>
      </c>
      <c r="H876" s="295" t="s">
        <v>209</v>
      </c>
    </row>
    <row r="877" spans="1:8" ht="20.25">
      <c r="A877" s="296">
        <v>10.29</v>
      </c>
      <c r="B877" s="187" t="s">
        <v>731</v>
      </c>
      <c r="C877" s="188"/>
      <c r="D877" s="189"/>
      <c r="E877" s="189"/>
      <c r="F877" s="190"/>
      <c r="G877" s="191" t="s">
        <v>198</v>
      </c>
      <c r="H877" s="189"/>
    </row>
    <row r="878" spans="1:8" ht="19.5">
      <c r="A878" s="189"/>
      <c r="B878" s="192" t="s">
        <v>511</v>
      </c>
      <c r="C878" s="193"/>
      <c r="D878" s="198">
        <v>1.1</v>
      </c>
      <c r="E878" s="191" t="s">
        <v>190</v>
      </c>
      <c r="F878" s="195">
        <v>430</v>
      </c>
      <c r="G878" s="256">
        <f>D878*F878</f>
        <v>473.00000000000006</v>
      </c>
      <c r="H878" s="231" t="s">
        <v>329</v>
      </c>
    </row>
    <row r="879" spans="1:8" ht="19.5">
      <c r="A879" s="189"/>
      <c r="B879" s="192" t="s">
        <v>245</v>
      </c>
      <c r="C879" s="193"/>
      <c r="D879" s="198">
        <v>21.51</v>
      </c>
      <c r="E879" s="191" t="s">
        <v>201</v>
      </c>
      <c r="F879" s="195">
        <v>2.08</v>
      </c>
      <c r="G879" s="256">
        <f>D879*F879</f>
        <v>44.74080000000001</v>
      </c>
      <c r="H879" s="230" t="s">
        <v>198</v>
      </c>
    </row>
    <row r="880" spans="1:8" ht="19.5">
      <c r="A880" s="189"/>
      <c r="B880" s="192" t="s">
        <v>203</v>
      </c>
      <c r="C880" s="193"/>
      <c r="D880" s="254">
        <v>0.11</v>
      </c>
      <c r="E880" s="191" t="s">
        <v>189</v>
      </c>
      <c r="F880" s="195">
        <v>287.5</v>
      </c>
      <c r="G880" s="256">
        <f>D880*F880</f>
        <v>31.625</v>
      </c>
      <c r="H880" s="189"/>
    </row>
    <row r="881" spans="1:8" ht="19.5">
      <c r="A881" s="189"/>
      <c r="B881" s="192" t="s">
        <v>279</v>
      </c>
      <c r="C881" s="193"/>
      <c r="D881" s="194">
        <v>6</v>
      </c>
      <c r="E881" s="191" t="s">
        <v>206</v>
      </c>
      <c r="F881" s="199">
        <v>0.0144</v>
      </c>
      <c r="G881" s="256">
        <f>D881*F881</f>
        <v>0.0864</v>
      </c>
      <c r="H881" s="189"/>
    </row>
    <row r="882" spans="1:8" ht="19.5">
      <c r="A882" s="189"/>
      <c r="B882" s="192" t="s">
        <v>505</v>
      </c>
      <c r="C882" s="193"/>
      <c r="D882" s="198">
        <v>0.1</v>
      </c>
      <c r="E882" s="191" t="s">
        <v>201</v>
      </c>
      <c r="F882" s="257">
        <v>28</v>
      </c>
      <c r="G882" s="256">
        <f>D882*F882</f>
        <v>2.8000000000000003</v>
      </c>
      <c r="H882" s="189"/>
    </row>
    <row r="883" spans="1:8" ht="20.25">
      <c r="A883" s="288"/>
      <c r="B883" s="289"/>
      <c r="C883" s="290" t="s">
        <v>510</v>
      </c>
      <c r="D883" s="291">
        <v>1</v>
      </c>
      <c r="E883" s="292" t="s">
        <v>190</v>
      </c>
      <c r="F883" s="293" t="s">
        <v>208</v>
      </c>
      <c r="G883" s="294">
        <f>SUM(G878:G882)</f>
        <v>552.2522</v>
      </c>
      <c r="H883" s="295" t="s">
        <v>209</v>
      </c>
    </row>
    <row r="884" spans="1:8" ht="20.25">
      <c r="A884" s="296">
        <v>10.3</v>
      </c>
      <c r="B884" s="187" t="s">
        <v>732</v>
      </c>
      <c r="C884" s="188"/>
      <c r="D884" s="189"/>
      <c r="E884" s="189"/>
      <c r="F884" s="190"/>
      <c r="G884" s="191" t="s">
        <v>198</v>
      </c>
      <c r="H884" s="189"/>
    </row>
    <row r="885" spans="1:8" ht="19.5">
      <c r="A885" s="189"/>
      <c r="B885" s="192" t="s">
        <v>512</v>
      </c>
      <c r="C885" s="193"/>
      <c r="D885" s="198">
        <v>1.1</v>
      </c>
      <c r="E885" s="191" t="s">
        <v>190</v>
      </c>
      <c r="F885" s="195">
        <v>680</v>
      </c>
      <c r="G885" s="256">
        <f>D885*F885</f>
        <v>748.0000000000001</v>
      </c>
      <c r="H885" s="231" t="s">
        <v>329</v>
      </c>
    </row>
    <row r="886" spans="1:8" ht="19.5">
      <c r="A886" s="189"/>
      <c r="B886" s="192" t="s">
        <v>245</v>
      </c>
      <c r="C886" s="193"/>
      <c r="D886" s="198">
        <v>21.51</v>
      </c>
      <c r="E886" s="191" t="s">
        <v>201</v>
      </c>
      <c r="F886" s="195">
        <v>2.08</v>
      </c>
      <c r="G886" s="256">
        <f>D886*F886</f>
        <v>44.74080000000001</v>
      </c>
      <c r="H886" s="230" t="s">
        <v>198</v>
      </c>
    </row>
    <row r="887" spans="1:8" ht="19.5">
      <c r="A887" s="189"/>
      <c r="B887" s="192" t="s">
        <v>203</v>
      </c>
      <c r="C887" s="193"/>
      <c r="D887" s="254">
        <v>0.11</v>
      </c>
      <c r="E887" s="191" t="s">
        <v>189</v>
      </c>
      <c r="F887" s="195">
        <v>287.5</v>
      </c>
      <c r="G887" s="256">
        <f>D887*F887</f>
        <v>31.625</v>
      </c>
      <c r="H887" s="189"/>
    </row>
    <row r="888" spans="1:8" ht="19.5">
      <c r="A888" s="189"/>
      <c r="B888" s="192" t="s">
        <v>279</v>
      </c>
      <c r="C888" s="193"/>
      <c r="D888" s="194">
        <v>6</v>
      </c>
      <c r="E888" s="191" t="s">
        <v>206</v>
      </c>
      <c r="F888" s="199">
        <v>0.0144</v>
      </c>
      <c r="G888" s="256">
        <f>D888*F888</f>
        <v>0.0864</v>
      </c>
      <c r="H888" s="189"/>
    </row>
    <row r="889" spans="1:8" ht="19.5">
      <c r="A889" s="189"/>
      <c r="B889" s="192" t="s">
        <v>505</v>
      </c>
      <c r="C889" s="193"/>
      <c r="D889" s="198">
        <v>0.1</v>
      </c>
      <c r="E889" s="191" t="s">
        <v>201</v>
      </c>
      <c r="F889" s="257">
        <v>28</v>
      </c>
      <c r="G889" s="256">
        <f>D889*F889</f>
        <v>2.8000000000000003</v>
      </c>
      <c r="H889" s="189"/>
    </row>
    <row r="890" spans="1:8" ht="20.25">
      <c r="A890" s="288"/>
      <c r="B890" s="289"/>
      <c r="C890" s="290" t="s">
        <v>513</v>
      </c>
      <c r="D890" s="291">
        <v>1</v>
      </c>
      <c r="E890" s="292" t="s">
        <v>190</v>
      </c>
      <c r="F890" s="293" t="s">
        <v>208</v>
      </c>
      <c r="G890" s="294">
        <f>SUM(G885:G889)</f>
        <v>827.2522000000001</v>
      </c>
      <c r="H890" s="295" t="s">
        <v>209</v>
      </c>
    </row>
    <row r="891" spans="1:8" ht="20.25">
      <c r="A891" s="296">
        <v>10.31</v>
      </c>
      <c r="B891" s="187" t="s">
        <v>733</v>
      </c>
      <c r="C891" s="188"/>
      <c r="D891" s="189"/>
      <c r="E891" s="189"/>
      <c r="F891" s="190"/>
      <c r="G891" s="191" t="s">
        <v>198</v>
      </c>
      <c r="H891" s="189"/>
    </row>
    <row r="892" spans="1:8" ht="19.5">
      <c r="A892" s="189"/>
      <c r="B892" s="192" t="s">
        <v>514</v>
      </c>
      <c r="C892" s="193"/>
      <c r="D892" s="198">
        <v>1.1</v>
      </c>
      <c r="E892" s="191" t="s">
        <v>190</v>
      </c>
      <c r="F892" s="195">
        <v>540</v>
      </c>
      <c r="G892" s="256">
        <f>D892*F892</f>
        <v>594</v>
      </c>
      <c r="H892" s="231" t="s">
        <v>329</v>
      </c>
    </row>
    <row r="893" spans="1:8" ht="19.5">
      <c r="A893" s="189"/>
      <c r="B893" s="192" t="s">
        <v>245</v>
      </c>
      <c r="C893" s="193"/>
      <c r="D893" s="198">
        <v>21.51</v>
      </c>
      <c r="E893" s="191" t="s">
        <v>201</v>
      </c>
      <c r="F893" s="195">
        <v>2.08</v>
      </c>
      <c r="G893" s="256">
        <f>D893*F893</f>
        <v>44.74080000000001</v>
      </c>
      <c r="H893" s="230" t="s">
        <v>198</v>
      </c>
    </row>
    <row r="894" spans="1:8" ht="19.5">
      <c r="A894" s="189"/>
      <c r="B894" s="192" t="s">
        <v>203</v>
      </c>
      <c r="C894" s="193"/>
      <c r="D894" s="254">
        <v>0.11</v>
      </c>
      <c r="E894" s="191" t="s">
        <v>189</v>
      </c>
      <c r="F894" s="195">
        <v>287.5</v>
      </c>
      <c r="G894" s="256">
        <f>D894*F894</f>
        <v>31.625</v>
      </c>
      <c r="H894" s="189"/>
    </row>
    <row r="895" spans="1:8" ht="19.5">
      <c r="A895" s="200"/>
      <c r="B895" s="201" t="s">
        <v>279</v>
      </c>
      <c r="C895" s="202"/>
      <c r="D895" s="203">
        <v>6</v>
      </c>
      <c r="E895" s="204" t="s">
        <v>206</v>
      </c>
      <c r="F895" s="330">
        <v>0.0144</v>
      </c>
      <c r="G895" s="282">
        <f>D895*F895</f>
        <v>0.0864</v>
      </c>
      <c r="H895" s="200"/>
    </row>
    <row r="896" spans="1:8" ht="19.5">
      <c r="A896" s="209"/>
      <c r="B896" s="250" t="s">
        <v>505</v>
      </c>
      <c r="C896" s="193"/>
      <c r="D896" s="283">
        <v>0.1</v>
      </c>
      <c r="E896" s="211" t="s">
        <v>201</v>
      </c>
      <c r="F896" s="329">
        <v>28</v>
      </c>
      <c r="G896" s="273">
        <f>D896*F896</f>
        <v>2.8000000000000003</v>
      </c>
      <c r="H896" s="209"/>
    </row>
    <row r="897" spans="1:8" ht="20.25">
      <c r="A897" s="238"/>
      <c r="B897" s="299"/>
      <c r="C897" s="240" t="s">
        <v>515</v>
      </c>
      <c r="D897" s="300">
        <v>1</v>
      </c>
      <c r="E897" s="301" t="s">
        <v>190</v>
      </c>
      <c r="F897" s="243" t="s">
        <v>208</v>
      </c>
      <c r="G897" s="302">
        <f>SUM(G892:G896)</f>
        <v>673.2522</v>
      </c>
      <c r="H897" s="303" t="s">
        <v>209</v>
      </c>
    </row>
    <row r="898" spans="1:8" ht="20.25">
      <c r="A898" s="296">
        <v>10.32</v>
      </c>
      <c r="B898" s="284" t="s">
        <v>734</v>
      </c>
      <c r="C898" s="193"/>
      <c r="D898" s="209"/>
      <c r="E898" s="209"/>
      <c r="F898" s="210"/>
      <c r="G898" s="211" t="s">
        <v>198</v>
      </c>
      <c r="H898" s="209"/>
    </row>
    <row r="899" spans="1:8" ht="19.5">
      <c r="A899" s="189"/>
      <c r="B899" s="192" t="s">
        <v>516</v>
      </c>
      <c r="C899" s="193"/>
      <c r="D899" s="198">
        <v>1.1</v>
      </c>
      <c r="E899" s="191" t="s">
        <v>190</v>
      </c>
      <c r="F899" s="195">
        <v>160</v>
      </c>
      <c r="G899" s="256">
        <f>D899*F899</f>
        <v>176</v>
      </c>
      <c r="H899" s="231" t="s">
        <v>329</v>
      </c>
    </row>
    <row r="900" spans="1:8" ht="19.5">
      <c r="A900" s="189"/>
      <c r="B900" s="192" t="s">
        <v>245</v>
      </c>
      <c r="C900" s="193"/>
      <c r="D900" s="198">
        <v>21.51</v>
      </c>
      <c r="E900" s="191" t="s">
        <v>201</v>
      </c>
      <c r="F900" s="195">
        <v>2.08</v>
      </c>
      <c r="G900" s="256">
        <f>D900*F900</f>
        <v>44.74080000000001</v>
      </c>
      <c r="H900" s="230" t="s">
        <v>198</v>
      </c>
    </row>
    <row r="901" spans="1:8" ht="19.5">
      <c r="A901" s="189"/>
      <c r="B901" s="192" t="s">
        <v>203</v>
      </c>
      <c r="C901" s="193"/>
      <c r="D901" s="254">
        <v>0.11</v>
      </c>
      <c r="E901" s="191" t="s">
        <v>189</v>
      </c>
      <c r="F901" s="195">
        <v>287.5</v>
      </c>
      <c r="G901" s="256">
        <f>D901*F901</f>
        <v>31.625</v>
      </c>
      <c r="H901" s="189"/>
    </row>
    <row r="902" spans="1:8" ht="19.5">
      <c r="A902" s="189"/>
      <c r="B902" s="192" t="s">
        <v>279</v>
      </c>
      <c r="C902" s="193"/>
      <c r="D902" s="194">
        <v>6</v>
      </c>
      <c r="E902" s="191" t="s">
        <v>206</v>
      </c>
      <c r="F902" s="199">
        <v>0.0144</v>
      </c>
      <c r="G902" s="256">
        <f>D902*F902</f>
        <v>0.0864</v>
      </c>
      <c r="H902" s="189"/>
    </row>
    <row r="903" spans="1:8" ht="19.5">
      <c r="A903" s="189"/>
      <c r="B903" s="192" t="s">
        <v>505</v>
      </c>
      <c r="C903" s="193"/>
      <c r="D903" s="198">
        <v>0.1</v>
      </c>
      <c r="E903" s="191" t="s">
        <v>201</v>
      </c>
      <c r="F903" s="257">
        <v>28</v>
      </c>
      <c r="G903" s="256">
        <f>D903*F903</f>
        <v>2.8000000000000003</v>
      </c>
      <c r="H903" s="189"/>
    </row>
    <row r="904" spans="1:8" ht="20.25">
      <c r="A904" s="288"/>
      <c r="B904" s="289"/>
      <c r="C904" s="290" t="s">
        <v>517</v>
      </c>
      <c r="D904" s="291">
        <v>1</v>
      </c>
      <c r="E904" s="292" t="s">
        <v>190</v>
      </c>
      <c r="F904" s="293" t="s">
        <v>208</v>
      </c>
      <c r="G904" s="294">
        <f>SUM(G899:G903)</f>
        <v>255.25220000000002</v>
      </c>
      <c r="H904" s="295" t="s">
        <v>209</v>
      </c>
    </row>
    <row r="905" spans="1:8" ht="20.25">
      <c r="A905" s="296">
        <v>10.33</v>
      </c>
      <c r="B905" s="187" t="s">
        <v>735</v>
      </c>
      <c r="C905" s="188"/>
      <c r="D905" s="189"/>
      <c r="E905" s="189"/>
      <c r="F905" s="190"/>
      <c r="G905" s="191" t="s">
        <v>198</v>
      </c>
      <c r="H905" s="189"/>
    </row>
    <row r="906" spans="1:8" ht="19.5">
      <c r="A906" s="189"/>
      <c r="B906" s="192" t="s">
        <v>518</v>
      </c>
      <c r="C906" s="193"/>
      <c r="D906" s="198">
        <v>1.1</v>
      </c>
      <c r="E906" s="191" t="s">
        <v>190</v>
      </c>
      <c r="F906" s="195">
        <v>125</v>
      </c>
      <c r="G906" s="256">
        <f>D906*F906</f>
        <v>137.5</v>
      </c>
      <c r="H906" s="231" t="s">
        <v>329</v>
      </c>
    </row>
    <row r="907" spans="1:8" ht="19.5">
      <c r="A907" s="189"/>
      <c r="B907" s="192" t="s">
        <v>245</v>
      </c>
      <c r="C907" s="193"/>
      <c r="D907" s="198">
        <v>21.51</v>
      </c>
      <c r="E907" s="191" t="s">
        <v>201</v>
      </c>
      <c r="F907" s="195">
        <v>2.08</v>
      </c>
      <c r="G907" s="256">
        <f>D907*F907</f>
        <v>44.74080000000001</v>
      </c>
      <c r="H907" s="230" t="s">
        <v>198</v>
      </c>
    </row>
    <row r="908" spans="1:8" ht="19.5">
      <c r="A908" s="189"/>
      <c r="B908" s="192" t="s">
        <v>203</v>
      </c>
      <c r="C908" s="193"/>
      <c r="D908" s="254">
        <v>0.11</v>
      </c>
      <c r="E908" s="191" t="s">
        <v>189</v>
      </c>
      <c r="F908" s="195">
        <v>287.5</v>
      </c>
      <c r="G908" s="256">
        <f>D908*F908</f>
        <v>31.625</v>
      </c>
      <c r="H908" s="189"/>
    </row>
    <row r="909" spans="1:8" ht="19.5">
      <c r="A909" s="189"/>
      <c r="B909" s="192" t="s">
        <v>279</v>
      </c>
      <c r="C909" s="193"/>
      <c r="D909" s="194">
        <v>6</v>
      </c>
      <c r="E909" s="191" t="s">
        <v>206</v>
      </c>
      <c r="F909" s="199">
        <v>0.0144</v>
      </c>
      <c r="G909" s="256">
        <f>D909*F909</f>
        <v>0.0864</v>
      </c>
      <c r="H909" s="189"/>
    </row>
    <row r="910" spans="1:8" ht="19.5">
      <c r="A910" s="189"/>
      <c r="B910" s="192" t="s">
        <v>505</v>
      </c>
      <c r="C910" s="193"/>
      <c r="D910" s="198">
        <v>0.1</v>
      </c>
      <c r="E910" s="191" t="s">
        <v>201</v>
      </c>
      <c r="F910" s="257">
        <v>28</v>
      </c>
      <c r="G910" s="256">
        <f>D910*F910</f>
        <v>2.8000000000000003</v>
      </c>
      <c r="H910" s="189"/>
    </row>
    <row r="911" spans="1:8" ht="20.25">
      <c r="A911" s="288"/>
      <c r="B911" s="289"/>
      <c r="C911" s="290" t="s">
        <v>517</v>
      </c>
      <c r="D911" s="291">
        <v>1</v>
      </c>
      <c r="E911" s="292" t="s">
        <v>190</v>
      </c>
      <c r="F911" s="293" t="s">
        <v>208</v>
      </c>
      <c r="G911" s="294">
        <f>SUM(G906:G910)</f>
        <v>216.75220000000002</v>
      </c>
      <c r="H911" s="295" t="s">
        <v>209</v>
      </c>
    </row>
    <row r="912" spans="1:8" ht="20.25">
      <c r="A912" s="296">
        <v>10.34</v>
      </c>
      <c r="B912" s="187" t="s">
        <v>519</v>
      </c>
      <c r="C912" s="188"/>
      <c r="D912" s="189"/>
      <c r="E912" s="189"/>
      <c r="F912" s="190"/>
      <c r="G912" s="191" t="s">
        <v>198</v>
      </c>
      <c r="H912" s="189"/>
    </row>
    <row r="913" spans="1:8" ht="20.25">
      <c r="A913" s="189"/>
      <c r="B913" s="187" t="s">
        <v>520</v>
      </c>
      <c r="C913" s="188"/>
      <c r="D913" s="198" t="s">
        <v>198</v>
      </c>
      <c r="E913" s="191" t="s">
        <v>198</v>
      </c>
      <c r="F913" s="195" t="s">
        <v>198</v>
      </c>
      <c r="G913" s="256" t="s">
        <v>198</v>
      </c>
      <c r="H913" s="228" t="s">
        <v>198</v>
      </c>
    </row>
    <row r="914" spans="1:8" ht="19.5">
      <c r="A914" s="189"/>
      <c r="B914" s="192" t="s">
        <v>521</v>
      </c>
      <c r="C914" s="188"/>
      <c r="D914" s="198">
        <v>1.15</v>
      </c>
      <c r="E914" s="191" t="s">
        <v>348</v>
      </c>
      <c r="F914" s="195">
        <v>496</v>
      </c>
      <c r="G914" s="256">
        <f>D914*F914</f>
        <v>570.4</v>
      </c>
      <c r="H914" s="231" t="s">
        <v>522</v>
      </c>
    </row>
    <row r="915" spans="1:8" ht="19.5">
      <c r="A915" s="189"/>
      <c r="B915" s="192" t="s">
        <v>523</v>
      </c>
      <c r="C915" s="188"/>
      <c r="D915" s="254">
        <v>0.51</v>
      </c>
      <c r="E915" s="191" t="s">
        <v>348</v>
      </c>
      <c r="F915" s="252">
        <v>791</v>
      </c>
      <c r="G915" s="256">
        <f>D915*F915</f>
        <v>403.41</v>
      </c>
      <c r="H915" s="189"/>
    </row>
    <row r="916" spans="1:8" ht="19.5">
      <c r="A916" s="189"/>
      <c r="B916" s="192" t="s">
        <v>350</v>
      </c>
      <c r="C916" s="188"/>
      <c r="D916" s="198">
        <v>0.2</v>
      </c>
      <c r="E916" s="191" t="s">
        <v>201</v>
      </c>
      <c r="F916" s="313">
        <v>12.92</v>
      </c>
      <c r="G916" s="256">
        <f>D916*F916</f>
        <v>2.584</v>
      </c>
      <c r="H916" s="189"/>
    </row>
    <row r="917" spans="1:8" ht="20.25">
      <c r="A917" s="288"/>
      <c r="B917" s="289"/>
      <c r="C917" s="290" t="s">
        <v>524</v>
      </c>
      <c r="D917" s="291">
        <v>1</v>
      </c>
      <c r="E917" s="292" t="s">
        <v>190</v>
      </c>
      <c r="F917" s="293" t="s">
        <v>208</v>
      </c>
      <c r="G917" s="294">
        <f>SUM(G913:G916)</f>
        <v>976.3939999999999</v>
      </c>
      <c r="H917" s="295" t="s">
        <v>209</v>
      </c>
    </row>
    <row r="918" spans="1:8" ht="20.25">
      <c r="A918" s="296">
        <v>10.35</v>
      </c>
      <c r="B918" s="187" t="s">
        <v>525</v>
      </c>
      <c r="C918" s="188"/>
      <c r="D918" s="189"/>
      <c r="E918" s="189"/>
      <c r="F918" s="190"/>
      <c r="G918" s="191" t="s">
        <v>198</v>
      </c>
      <c r="H918" s="189"/>
    </row>
    <row r="919" spans="1:8" ht="20.25">
      <c r="A919" s="189"/>
      <c r="B919" s="187" t="s">
        <v>520</v>
      </c>
      <c r="C919" s="188"/>
      <c r="D919" s="198" t="s">
        <v>198</v>
      </c>
      <c r="E919" s="191" t="s">
        <v>198</v>
      </c>
      <c r="F919" s="195" t="s">
        <v>198</v>
      </c>
      <c r="G919" s="256" t="s">
        <v>198</v>
      </c>
      <c r="H919" s="228" t="s">
        <v>198</v>
      </c>
    </row>
    <row r="920" spans="1:8" ht="19.5">
      <c r="A920" s="189"/>
      <c r="B920" s="192" t="s">
        <v>526</v>
      </c>
      <c r="C920" s="188"/>
      <c r="D920" s="198">
        <v>1.08</v>
      </c>
      <c r="E920" s="191" t="s">
        <v>348</v>
      </c>
      <c r="F920" s="195">
        <v>496</v>
      </c>
      <c r="G920" s="256">
        <f>D920*F920</f>
        <v>535.6800000000001</v>
      </c>
      <c r="H920" s="231" t="s">
        <v>522</v>
      </c>
    </row>
    <row r="921" spans="1:8" ht="19.5">
      <c r="A921" s="189"/>
      <c r="B921" s="192" t="s">
        <v>523</v>
      </c>
      <c r="C921" s="188"/>
      <c r="D921" s="254">
        <v>0.51</v>
      </c>
      <c r="E921" s="191" t="s">
        <v>348</v>
      </c>
      <c r="F921" s="252">
        <v>791</v>
      </c>
      <c r="G921" s="256">
        <f>D921*F921</f>
        <v>403.41</v>
      </c>
      <c r="H921" s="189"/>
    </row>
    <row r="922" spans="1:8" ht="19.5">
      <c r="A922" s="189"/>
      <c r="B922" s="192" t="s">
        <v>350</v>
      </c>
      <c r="C922" s="188"/>
      <c r="D922" s="198">
        <v>0.2</v>
      </c>
      <c r="E922" s="191" t="s">
        <v>201</v>
      </c>
      <c r="F922" s="313">
        <v>12.92</v>
      </c>
      <c r="G922" s="256">
        <f>D922*F922</f>
        <v>2.584</v>
      </c>
      <c r="H922" s="189"/>
    </row>
    <row r="923" spans="1:8" ht="20.25">
      <c r="A923" s="288"/>
      <c r="B923" s="289"/>
      <c r="C923" s="290" t="s">
        <v>527</v>
      </c>
      <c r="D923" s="291">
        <v>1</v>
      </c>
      <c r="E923" s="292" t="s">
        <v>190</v>
      </c>
      <c r="F923" s="293" t="s">
        <v>208</v>
      </c>
      <c r="G923" s="294">
        <f>SUM(G919:G922)</f>
        <v>941.6740000000001</v>
      </c>
      <c r="H923" s="295" t="s">
        <v>209</v>
      </c>
    </row>
    <row r="924" spans="1:8" ht="20.25">
      <c r="A924" s="296">
        <v>10.36</v>
      </c>
      <c r="B924" s="187" t="s">
        <v>528</v>
      </c>
      <c r="C924" s="188"/>
      <c r="D924" s="189"/>
      <c r="E924" s="189"/>
      <c r="F924" s="190"/>
      <c r="G924" s="191" t="s">
        <v>198</v>
      </c>
      <c r="H924" s="189"/>
    </row>
    <row r="925" spans="1:8" ht="20.25">
      <c r="A925" s="189"/>
      <c r="B925" s="187" t="s">
        <v>520</v>
      </c>
      <c r="C925" s="188"/>
      <c r="D925" s="198" t="s">
        <v>198</v>
      </c>
      <c r="E925" s="191" t="s">
        <v>198</v>
      </c>
      <c r="F925" s="195" t="s">
        <v>198</v>
      </c>
      <c r="G925" s="256" t="s">
        <v>198</v>
      </c>
      <c r="H925" s="228" t="s">
        <v>198</v>
      </c>
    </row>
    <row r="926" spans="1:8" ht="19.5">
      <c r="A926" s="189"/>
      <c r="B926" s="192" t="s">
        <v>529</v>
      </c>
      <c r="C926" s="188"/>
      <c r="D926" s="198">
        <v>1.15</v>
      </c>
      <c r="E926" s="191" t="s">
        <v>348</v>
      </c>
      <c r="F926" s="195">
        <v>829</v>
      </c>
      <c r="G926" s="256">
        <f>D926*F926</f>
        <v>953.3499999999999</v>
      </c>
      <c r="H926" s="231" t="s">
        <v>522</v>
      </c>
    </row>
    <row r="927" spans="1:8" ht="19.5">
      <c r="A927" s="189"/>
      <c r="B927" s="192" t="s">
        <v>523</v>
      </c>
      <c r="C927" s="188"/>
      <c r="D927" s="254">
        <v>0.51</v>
      </c>
      <c r="E927" s="191" t="s">
        <v>348</v>
      </c>
      <c r="F927" s="252">
        <v>791</v>
      </c>
      <c r="G927" s="256">
        <f>D927*F927</f>
        <v>403.41</v>
      </c>
      <c r="H927" s="189"/>
    </row>
    <row r="928" spans="1:8" ht="19.5">
      <c r="A928" s="189"/>
      <c r="B928" s="192" t="s">
        <v>350</v>
      </c>
      <c r="C928" s="188"/>
      <c r="D928" s="198">
        <v>0.2</v>
      </c>
      <c r="E928" s="191" t="s">
        <v>201</v>
      </c>
      <c r="F928" s="313">
        <v>12.92</v>
      </c>
      <c r="G928" s="256">
        <f>D928*F928</f>
        <v>2.584</v>
      </c>
      <c r="H928" s="189"/>
    </row>
    <row r="929" spans="1:8" ht="20.25">
      <c r="A929" s="200"/>
      <c r="B929" s="201"/>
      <c r="C929" s="202" t="s">
        <v>530</v>
      </c>
      <c r="D929" s="203">
        <v>1</v>
      </c>
      <c r="E929" s="204" t="s">
        <v>190</v>
      </c>
      <c r="F929" s="205" t="s">
        <v>208</v>
      </c>
      <c r="G929" s="206">
        <f>SUM(G925:G928)</f>
        <v>1359.344</v>
      </c>
      <c r="H929" s="207" t="s">
        <v>209</v>
      </c>
    </row>
    <row r="930" spans="1:8" ht="20.25">
      <c r="A930" s="296">
        <v>10.37</v>
      </c>
      <c r="B930" s="284" t="s">
        <v>531</v>
      </c>
      <c r="C930" s="193"/>
      <c r="D930" s="209"/>
      <c r="E930" s="209"/>
      <c r="F930" s="210"/>
      <c r="G930" s="211" t="s">
        <v>198</v>
      </c>
      <c r="H930" s="209"/>
    </row>
    <row r="931" spans="1:8" ht="20.25">
      <c r="A931" s="189"/>
      <c r="B931" s="187" t="s">
        <v>520</v>
      </c>
      <c r="C931" s="188"/>
      <c r="D931" s="198" t="s">
        <v>198</v>
      </c>
      <c r="E931" s="191" t="s">
        <v>198</v>
      </c>
      <c r="F931" s="195" t="s">
        <v>198</v>
      </c>
      <c r="G931" s="256" t="s">
        <v>198</v>
      </c>
      <c r="H931" s="228" t="s">
        <v>198</v>
      </c>
    </row>
    <row r="932" spans="1:8" ht="19.5">
      <c r="A932" s="189"/>
      <c r="B932" s="192" t="s">
        <v>532</v>
      </c>
      <c r="C932" s="188"/>
      <c r="D932" s="198">
        <v>1.08</v>
      </c>
      <c r="E932" s="191" t="s">
        <v>348</v>
      </c>
      <c r="F932" s="195">
        <v>829</v>
      </c>
      <c r="G932" s="256">
        <f>D932*F932</f>
        <v>895.32</v>
      </c>
      <c r="H932" s="231" t="s">
        <v>522</v>
      </c>
    </row>
    <row r="933" spans="1:8" ht="19.5">
      <c r="A933" s="189"/>
      <c r="B933" s="192" t="s">
        <v>523</v>
      </c>
      <c r="C933" s="188"/>
      <c r="D933" s="254">
        <v>0.51</v>
      </c>
      <c r="E933" s="191" t="s">
        <v>348</v>
      </c>
      <c r="F933" s="195">
        <v>791</v>
      </c>
      <c r="G933" s="256">
        <f>D933*F933</f>
        <v>403.41</v>
      </c>
      <c r="H933" s="189"/>
    </row>
    <row r="934" spans="1:8" ht="19.5">
      <c r="A934" s="209"/>
      <c r="B934" s="250" t="s">
        <v>350</v>
      </c>
      <c r="C934" s="193"/>
      <c r="D934" s="283">
        <v>0.2</v>
      </c>
      <c r="E934" s="211" t="s">
        <v>201</v>
      </c>
      <c r="F934" s="313">
        <v>12.92</v>
      </c>
      <c r="G934" s="273">
        <f>D934*F934</f>
        <v>2.584</v>
      </c>
      <c r="H934" s="209"/>
    </row>
    <row r="935" spans="1:8" ht="20.25">
      <c r="A935" s="200"/>
      <c r="B935" s="201"/>
      <c r="C935" s="202" t="s">
        <v>533</v>
      </c>
      <c r="D935" s="203">
        <v>1</v>
      </c>
      <c r="E935" s="204" t="s">
        <v>190</v>
      </c>
      <c r="F935" s="205" t="s">
        <v>208</v>
      </c>
      <c r="G935" s="206">
        <f>SUM(G931:G934)</f>
        <v>1301.314</v>
      </c>
      <c r="H935" s="207" t="s">
        <v>209</v>
      </c>
    </row>
    <row r="936" spans="1:8" ht="20.25">
      <c r="A936" s="296">
        <v>10.38</v>
      </c>
      <c r="B936" s="284" t="s">
        <v>534</v>
      </c>
      <c r="C936" s="193"/>
      <c r="D936" s="209"/>
      <c r="E936" s="209"/>
      <c r="F936" s="210"/>
      <c r="G936" s="211" t="s">
        <v>198</v>
      </c>
      <c r="H936" s="209"/>
    </row>
    <row r="937" spans="1:8" ht="20.25">
      <c r="A937" s="189"/>
      <c r="B937" s="187" t="s">
        <v>520</v>
      </c>
      <c r="C937" s="188"/>
      <c r="D937" s="198" t="s">
        <v>198</v>
      </c>
      <c r="E937" s="191" t="s">
        <v>198</v>
      </c>
      <c r="F937" s="195" t="s">
        <v>198</v>
      </c>
      <c r="G937" s="256" t="s">
        <v>198</v>
      </c>
      <c r="H937" s="228" t="s">
        <v>198</v>
      </c>
    </row>
    <row r="938" spans="1:8" ht="19.5">
      <c r="A938" s="189"/>
      <c r="B938" s="192" t="s">
        <v>535</v>
      </c>
      <c r="C938" s="188"/>
      <c r="D938" s="198">
        <v>1.15</v>
      </c>
      <c r="E938" s="191" t="s">
        <v>348</v>
      </c>
      <c r="F938" s="195">
        <v>959</v>
      </c>
      <c r="G938" s="256">
        <f>D938*F938</f>
        <v>1102.85</v>
      </c>
      <c r="H938" s="231" t="s">
        <v>522</v>
      </c>
    </row>
    <row r="939" spans="1:8" ht="19.5">
      <c r="A939" s="189"/>
      <c r="B939" s="192" t="s">
        <v>523</v>
      </c>
      <c r="C939" s="188"/>
      <c r="D939" s="254">
        <v>0.51</v>
      </c>
      <c r="E939" s="191" t="s">
        <v>348</v>
      </c>
      <c r="F939" s="252">
        <v>791</v>
      </c>
      <c r="G939" s="256">
        <f>D939*F939</f>
        <v>403.41</v>
      </c>
      <c r="H939" s="189"/>
    </row>
    <row r="940" spans="1:8" ht="19.5">
      <c r="A940" s="189"/>
      <c r="B940" s="192" t="s">
        <v>350</v>
      </c>
      <c r="C940" s="188"/>
      <c r="D940" s="198">
        <v>0.2</v>
      </c>
      <c r="E940" s="191" t="s">
        <v>201</v>
      </c>
      <c r="F940" s="313">
        <v>12.92</v>
      </c>
      <c r="G940" s="256">
        <f>D940*F940</f>
        <v>2.584</v>
      </c>
      <c r="H940" s="189"/>
    </row>
    <row r="941" spans="1:8" ht="20.25">
      <c r="A941" s="200"/>
      <c r="B941" s="201"/>
      <c r="C941" s="202" t="s">
        <v>536</v>
      </c>
      <c r="D941" s="203">
        <v>1</v>
      </c>
      <c r="E941" s="204" t="s">
        <v>190</v>
      </c>
      <c r="F941" s="205" t="s">
        <v>208</v>
      </c>
      <c r="G941" s="206">
        <f>SUM(G937:G940)</f>
        <v>1508.844</v>
      </c>
      <c r="H941" s="207" t="s">
        <v>209</v>
      </c>
    </row>
    <row r="942" spans="1:8" ht="20.25">
      <c r="A942" s="296">
        <v>10.39</v>
      </c>
      <c r="B942" s="284" t="s">
        <v>537</v>
      </c>
      <c r="C942" s="193"/>
      <c r="D942" s="209"/>
      <c r="E942" s="209"/>
      <c r="F942" s="210"/>
      <c r="G942" s="211" t="s">
        <v>198</v>
      </c>
      <c r="H942" s="209"/>
    </row>
    <row r="943" spans="1:8" ht="20.25">
      <c r="A943" s="189"/>
      <c r="B943" s="187" t="s">
        <v>520</v>
      </c>
      <c r="C943" s="188"/>
      <c r="D943" s="198" t="s">
        <v>198</v>
      </c>
      <c r="E943" s="191" t="s">
        <v>198</v>
      </c>
      <c r="F943" s="195" t="s">
        <v>198</v>
      </c>
      <c r="G943" s="256" t="s">
        <v>198</v>
      </c>
      <c r="H943" s="228" t="s">
        <v>198</v>
      </c>
    </row>
    <row r="944" spans="1:8" ht="19.5">
      <c r="A944" s="189"/>
      <c r="B944" s="192" t="s">
        <v>538</v>
      </c>
      <c r="C944" s="188"/>
      <c r="D944" s="198">
        <v>1.08</v>
      </c>
      <c r="E944" s="191" t="s">
        <v>348</v>
      </c>
      <c r="F944" s="195">
        <v>959</v>
      </c>
      <c r="G944" s="256">
        <f>D944*F944</f>
        <v>1035.72</v>
      </c>
      <c r="H944" s="231" t="s">
        <v>522</v>
      </c>
    </row>
    <row r="945" spans="1:8" ht="19.5">
      <c r="A945" s="189"/>
      <c r="B945" s="192" t="s">
        <v>523</v>
      </c>
      <c r="C945" s="188"/>
      <c r="D945" s="254">
        <v>0.51</v>
      </c>
      <c r="E945" s="191" t="s">
        <v>348</v>
      </c>
      <c r="F945" s="252">
        <v>791</v>
      </c>
      <c r="G945" s="256">
        <f>D945*F945</f>
        <v>403.41</v>
      </c>
      <c r="H945" s="189"/>
    </row>
    <row r="946" spans="1:8" ht="19.5">
      <c r="A946" s="189"/>
      <c r="B946" s="192" t="s">
        <v>350</v>
      </c>
      <c r="C946" s="188"/>
      <c r="D946" s="198">
        <v>0.2</v>
      </c>
      <c r="E946" s="191" t="s">
        <v>201</v>
      </c>
      <c r="F946" s="313">
        <v>12.92</v>
      </c>
      <c r="G946" s="256">
        <f>D946*F946</f>
        <v>2.584</v>
      </c>
      <c r="H946" s="189"/>
    </row>
    <row r="947" spans="1:8" ht="20.25">
      <c r="A947" s="200"/>
      <c r="B947" s="201"/>
      <c r="C947" s="202" t="s">
        <v>539</v>
      </c>
      <c r="D947" s="203">
        <v>1</v>
      </c>
      <c r="E947" s="204" t="s">
        <v>190</v>
      </c>
      <c r="F947" s="205" t="s">
        <v>208</v>
      </c>
      <c r="G947" s="206">
        <f>SUM(G943:G946)</f>
        <v>1441.7140000000002</v>
      </c>
      <c r="H947" s="207" t="s">
        <v>209</v>
      </c>
    </row>
    <row r="948" spans="1:8" ht="20.25">
      <c r="A948" s="296">
        <v>10.4</v>
      </c>
      <c r="B948" s="187" t="s">
        <v>540</v>
      </c>
      <c r="C948" s="188"/>
      <c r="D948" s="189"/>
      <c r="E948" s="189"/>
      <c r="F948" s="190"/>
      <c r="G948" s="191" t="s">
        <v>198</v>
      </c>
      <c r="H948" s="189"/>
    </row>
    <row r="949" spans="1:8" ht="20.25">
      <c r="A949" s="189"/>
      <c r="B949" s="187" t="s">
        <v>520</v>
      </c>
      <c r="C949" s="188"/>
      <c r="D949" s="198" t="s">
        <v>198</v>
      </c>
      <c r="E949" s="191" t="s">
        <v>198</v>
      </c>
      <c r="F949" s="195" t="s">
        <v>198</v>
      </c>
      <c r="G949" s="256" t="s">
        <v>198</v>
      </c>
      <c r="H949" s="228" t="s">
        <v>198</v>
      </c>
    </row>
    <row r="950" spans="1:8" ht="19.5">
      <c r="A950" s="189"/>
      <c r="B950" s="192" t="s">
        <v>541</v>
      </c>
      <c r="C950" s="188"/>
      <c r="D950" s="198">
        <v>1.15</v>
      </c>
      <c r="E950" s="191" t="s">
        <v>348</v>
      </c>
      <c r="F950" s="195">
        <v>2622</v>
      </c>
      <c r="G950" s="256">
        <f>D950*F950</f>
        <v>3015.2999999999997</v>
      </c>
      <c r="H950" s="231" t="s">
        <v>522</v>
      </c>
    </row>
    <row r="951" spans="1:8" ht="19.5">
      <c r="A951" s="189"/>
      <c r="B951" s="192" t="s">
        <v>523</v>
      </c>
      <c r="C951" s="188"/>
      <c r="D951" s="254">
        <v>0.51</v>
      </c>
      <c r="E951" s="191" t="s">
        <v>348</v>
      </c>
      <c r="F951" s="252">
        <v>791</v>
      </c>
      <c r="G951" s="256">
        <f>D951*F951</f>
        <v>403.41</v>
      </c>
      <c r="H951" s="189"/>
    </row>
    <row r="952" spans="1:8" ht="19.5">
      <c r="A952" s="189"/>
      <c r="B952" s="192" t="s">
        <v>350</v>
      </c>
      <c r="C952" s="188"/>
      <c r="D952" s="198">
        <v>0.2</v>
      </c>
      <c r="E952" s="191" t="s">
        <v>201</v>
      </c>
      <c r="F952" s="313">
        <v>12.92</v>
      </c>
      <c r="G952" s="256">
        <f>D952*F952</f>
        <v>2.584</v>
      </c>
      <c r="H952" s="189"/>
    </row>
    <row r="953" spans="1:8" ht="20.25">
      <c r="A953" s="200"/>
      <c r="B953" s="201"/>
      <c r="C953" s="202" t="s">
        <v>542</v>
      </c>
      <c r="D953" s="203">
        <v>1</v>
      </c>
      <c r="E953" s="204" t="s">
        <v>190</v>
      </c>
      <c r="F953" s="205" t="s">
        <v>208</v>
      </c>
      <c r="G953" s="206">
        <f>SUM(G949:G952)</f>
        <v>3421.2939999999994</v>
      </c>
      <c r="H953" s="207" t="s">
        <v>209</v>
      </c>
    </row>
    <row r="954" spans="1:8" ht="20.25">
      <c r="A954" s="296">
        <v>10.41</v>
      </c>
      <c r="B954" s="284" t="s">
        <v>543</v>
      </c>
      <c r="C954" s="193"/>
      <c r="D954" s="209"/>
      <c r="E954" s="209"/>
      <c r="F954" s="210"/>
      <c r="G954" s="211" t="s">
        <v>198</v>
      </c>
      <c r="H954" s="209"/>
    </row>
    <row r="955" spans="1:8" ht="20.25">
      <c r="A955" s="189"/>
      <c r="B955" s="187" t="s">
        <v>520</v>
      </c>
      <c r="C955" s="188"/>
      <c r="D955" s="198" t="s">
        <v>198</v>
      </c>
      <c r="E955" s="191" t="s">
        <v>198</v>
      </c>
      <c r="F955" s="195" t="s">
        <v>198</v>
      </c>
      <c r="G955" s="256" t="s">
        <v>198</v>
      </c>
      <c r="H955" s="228" t="s">
        <v>198</v>
      </c>
    </row>
    <row r="956" spans="1:8" ht="19.5">
      <c r="A956" s="189"/>
      <c r="B956" s="192" t="s">
        <v>544</v>
      </c>
      <c r="C956" s="188"/>
      <c r="D956" s="198">
        <v>1.08</v>
      </c>
      <c r="E956" s="191" t="s">
        <v>348</v>
      </c>
      <c r="F956" s="195">
        <v>2622</v>
      </c>
      <c r="G956" s="256">
        <f>D956*F956</f>
        <v>2831.76</v>
      </c>
      <c r="H956" s="231" t="s">
        <v>522</v>
      </c>
    </row>
    <row r="957" spans="1:8" ht="19.5">
      <c r="A957" s="189"/>
      <c r="B957" s="192" t="s">
        <v>523</v>
      </c>
      <c r="C957" s="188"/>
      <c r="D957" s="254">
        <v>0.51</v>
      </c>
      <c r="E957" s="191" t="s">
        <v>348</v>
      </c>
      <c r="F957" s="252">
        <v>791</v>
      </c>
      <c r="G957" s="256">
        <f>D957*F957</f>
        <v>403.41</v>
      </c>
      <c r="H957" s="189"/>
    </row>
    <row r="958" spans="1:8" ht="19.5">
      <c r="A958" s="189"/>
      <c r="B958" s="192" t="s">
        <v>350</v>
      </c>
      <c r="C958" s="188"/>
      <c r="D958" s="198">
        <v>0.2</v>
      </c>
      <c r="E958" s="191" t="s">
        <v>201</v>
      </c>
      <c r="F958" s="313">
        <v>12.02</v>
      </c>
      <c r="G958" s="256">
        <f>D958*F958</f>
        <v>2.404</v>
      </c>
      <c r="H958" s="189"/>
    </row>
    <row r="959" spans="1:8" ht="20.25">
      <c r="A959" s="200"/>
      <c r="B959" s="201"/>
      <c r="C959" s="202" t="s">
        <v>545</v>
      </c>
      <c r="D959" s="203">
        <v>1</v>
      </c>
      <c r="E959" s="204" t="s">
        <v>190</v>
      </c>
      <c r="F959" s="205" t="s">
        <v>208</v>
      </c>
      <c r="G959" s="206">
        <f>SUM(G955:G958)</f>
        <v>3237.574</v>
      </c>
      <c r="H959" s="207" t="s">
        <v>209</v>
      </c>
    </row>
    <row r="960" spans="1:8" ht="20.25">
      <c r="A960" s="296">
        <v>10.42</v>
      </c>
      <c r="B960" s="187" t="s">
        <v>546</v>
      </c>
      <c r="C960" s="188"/>
      <c r="D960" s="189"/>
      <c r="E960" s="189"/>
      <c r="F960" s="190"/>
      <c r="G960" s="191" t="s">
        <v>198</v>
      </c>
      <c r="H960" s="189"/>
    </row>
    <row r="961" spans="1:8" ht="20.25">
      <c r="A961" s="189"/>
      <c r="B961" s="187" t="s">
        <v>520</v>
      </c>
      <c r="C961" s="188"/>
      <c r="D961" s="198" t="s">
        <v>198</v>
      </c>
      <c r="E961" s="191" t="s">
        <v>198</v>
      </c>
      <c r="F961" s="195" t="s">
        <v>198</v>
      </c>
      <c r="G961" s="256" t="s">
        <v>198</v>
      </c>
      <c r="H961" s="228" t="s">
        <v>198</v>
      </c>
    </row>
    <row r="962" spans="1:8" ht="19.5">
      <c r="A962" s="189"/>
      <c r="B962" s="192" t="s">
        <v>547</v>
      </c>
      <c r="C962" s="188"/>
      <c r="D962" s="198">
        <v>1.15</v>
      </c>
      <c r="E962" s="191" t="s">
        <v>348</v>
      </c>
      <c r="F962" s="195">
        <v>1544</v>
      </c>
      <c r="G962" s="256">
        <f>D962*F962</f>
        <v>1775.6</v>
      </c>
      <c r="H962" s="231" t="s">
        <v>522</v>
      </c>
    </row>
    <row r="963" spans="1:8" ht="19.5">
      <c r="A963" s="189"/>
      <c r="B963" s="192" t="s">
        <v>523</v>
      </c>
      <c r="C963" s="188"/>
      <c r="D963" s="254">
        <v>0.51</v>
      </c>
      <c r="E963" s="191" t="s">
        <v>348</v>
      </c>
      <c r="F963" s="252">
        <v>791</v>
      </c>
      <c r="G963" s="256">
        <f>D963*F963</f>
        <v>403.41</v>
      </c>
      <c r="H963" s="189"/>
    </row>
    <row r="964" spans="1:8" ht="19.5">
      <c r="A964" s="189"/>
      <c r="B964" s="192" t="s">
        <v>350</v>
      </c>
      <c r="C964" s="188"/>
      <c r="D964" s="198">
        <v>0.2</v>
      </c>
      <c r="E964" s="191" t="s">
        <v>201</v>
      </c>
      <c r="F964" s="313">
        <v>12.92</v>
      </c>
      <c r="G964" s="256">
        <f>D964*F964</f>
        <v>2.584</v>
      </c>
      <c r="H964" s="189"/>
    </row>
    <row r="965" spans="1:8" ht="20.25">
      <c r="A965" s="200"/>
      <c r="B965" s="201"/>
      <c r="C965" s="202" t="s">
        <v>548</v>
      </c>
      <c r="D965" s="203">
        <v>1</v>
      </c>
      <c r="E965" s="204" t="s">
        <v>190</v>
      </c>
      <c r="F965" s="205" t="s">
        <v>208</v>
      </c>
      <c r="G965" s="206">
        <f>SUM(G961:G964)</f>
        <v>2181.5939999999996</v>
      </c>
      <c r="H965" s="207" t="s">
        <v>209</v>
      </c>
    </row>
    <row r="966" spans="1:8" ht="20.25">
      <c r="A966" s="296">
        <v>10.43</v>
      </c>
      <c r="B966" s="284" t="s">
        <v>549</v>
      </c>
      <c r="C966" s="193"/>
      <c r="D966" s="209"/>
      <c r="E966" s="209"/>
      <c r="F966" s="210"/>
      <c r="G966" s="211" t="s">
        <v>198</v>
      </c>
      <c r="H966" s="209"/>
    </row>
    <row r="967" spans="1:8" ht="20.25">
      <c r="A967" s="189"/>
      <c r="B967" s="187" t="s">
        <v>520</v>
      </c>
      <c r="C967" s="188"/>
      <c r="D967" s="198" t="s">
        <v>198</v>
      </c>
      <c r="E967" s="191" t="s">
        <v>198</v>
      </c>
      <c r="F967" s="195" t="s">
        <v>198</v>
      </c>
      <c r="G967" s="256" t="s">
        <v>198</v>
      </c>
      <c r="H967" s="228" t="s">
        <v>198</v>
      </c>
    </row>
    <row r="968" spans="1:8" ht="19.5">
      <c r="A968" s="189"/>
      <c r="B968" s="192" t="s">
        <v>550</v>
      </c>
      <c r="C968" s="188"/>
      <c r="D968" s="198">
        <v>1.08</v>
      </c>
      <c r="E968" s="191" t="s">
        <v>348</v>
      </c>
      <c r="F968" s="195">
        <v>1544</v>
      </c>
      <c r="G968" s="256">
        <f>D968*F968</f>
        <v>1667.5200000000002</v>
      </c>
      <c r="H968" s="231" t="s">
        <v>522</v>
      </c>
    </row>
    <row r="969" spans="1:8" ht="19.5">
      <c r="A969" s="265"/>
      <c r="B969" s="259" t="s">
        <v>523</v>
      </c>
      <c r="C969" s="260"/>
      <c r="D969" s="331">
        <v>0.51</v>
      </c>
      <c r="E969" s="262" t="s">
        <v>348</v>
      </c>
      <c r="F969" s="306">
        <v>791</v>
      </c>
      <c r="G969" s="307">
        <f>D969*F969</f>
        <v>403.41</v>
      </c>
      <c r="H969" s="265"/>
    </row>
    <row r="970" spans="1:8" ht="19.5">
      <c r="A970" s="189"/>
      <c r="B970" s="192" t="s">
        <v>350</v>
      </c>
      <c r="C970" s="188"/>
      <c r="D970" s="198">
        <v>0.2</v>
      </c>
      <c r="E970" s="191" t="s">
        <v>201</v>
      </c>
      <c r="F970" s="255">
        <v>12.92</v>
      </c>
      <c r="G970" s="256">
        <f>D970*F970</f>
        <v>2.584</v>
      </c>
      <c r="H970" s="189"/>
    </row>
    <row r="971" spans="1:8" ht="20.25">
      <c r="A971" s="200"/>
      <c r="B971" s="201"/>
      <c r="C971" s="202" t="s">
        <v>551</v>
      </c>
      <c r="D971" s="203">
        <v>1</v>
      </c>
      <c r="E971" s="204" t="s">
        <v>190</v>
      </c>
      <c r="F971" s="205" t="s">
        <v>208</v>
      </c>
      <c r="G971" s="206">
        <f>SUM(G967:G970)</f>
        <v>2073.514</v>
      </c>
      <c r="H971" s="207" t="s">
        <v>209</v>
      </c>
    </row>
    <row r="972" spans="1:8" ht="20.25">
      <c r="A972" s="296">
        <v>10.44</v>
      </c>
      <c r="B972" s="284" t="s">
        <v>552</v>
      </c>
      <c r="C972" s="193"/>
      <c r="D972" s="209"/>
      <c r="E972" s="209"/>
      <c r="F972" s="210"/>
      <c r="G972" s="211" t="s">
        <v>198</v>
      </c>
      <c r="H972" s="209"/>
    </row>
    <row r="973" spans="1:8" ht="20.25">
      <c r="A973" s="189"/>
      <c r="B973" s="187" t="s">
        <v>736</v>
      </c>
      <c r="C973" s="188"/>
      <c r="D973" s="198" t="s">
        <v>198</v>
      </c>
      <c r="E973" s="191" t="s">
        <v>198</v>
      </c>
      <c r="F973" s="195" t="s">
        <v>198</v>
      </c>
      <c r="G973" s="256" t="s">
        <v>198</v>
      </c>
      <c r="H973" s="228" t="s">
        <v>198</v>
      </c>
    </row>
    <row r="974" spans="1:8" ht="19.5">
      <c r="A974" s="189"/>
      <c r="B974" s="192" t="s">
        <v>553</v>
      </c>
      <c r="C974" s="188"/>
      <c r="D974" s="198">
        <v>7</v>
      </c>
      <c r="E974" s="191" t="s">
        <v>294</v>
      </c>
      <c r="F974" s="195">
        <v>16.15</v>
      </c>
      <c r="G974" s="256">
        <f>D974*F974</f>
        <v>113.04999999999998</v>
      </c>
      <c r="H974" s="197" t="s">
        <v>198</v>
      </c>
    </row>
    <row r="975" spans="1:8" ht="19.5">
      <c r="A975" s="200"/>
      <c r="B975" s="201" t="s">
        <v>554</v>
      </c>
      <c r="C975" s="202"/>
      <c r="D975" s="247">
        <v>0.05</v>
      </c>
      <c r="E975" s="204" t="s">
        <v>189</v>
      </c>
      <c r="F975" s="248">
        <v>287.5</v>
      </c>
      <c r="G975" s="282">
        <f>D975*F975</f>
        <v>14.375</v>
      </c>
      <c r="H975" s="200"/>
    </row>
    <row r="976" spans="1:8" ht="19.5">
      <c r="A976" s="209"/>
      <c r="B976" s="250" t="s">
        <v>555</v>
      </c>
      <c r="C976" s="193"/>
      <c r="D976" s="283">
        <v>0.02</v>
      </c>
      <c r="E976" s="211" t="s">
        <v>189</v>
      </c>
      <c r="F976" s="313">
        <v>10</v>
      </c>
      <c r="G976" s="273">
        <f>D976*F976</f>
        <v>0.2</v>
      </c>
      <c r="H976" s="209"/>
    </row>
    <row r="977" spans="1:8" ht="20.25">
      <c r="A977" s="200"/>
      <c r="B977" s="201"/>
      <c r="C977" s="202" t="s">
        <v>556</v>
      </c>
      <c r="D977" s="203">
        <v>1</v>
      </c>
      <c r="E977" s="204" t="s">
        <v>190</v>
      </c>
      <c r="F977" s="205" t="s">
        <v>208</v>
      </c>
      <c r="G977" s="206">
        <f>SUM(G973:G976)</f>
        <v>127.62499999999999</v>
      </c>
      <c r="H977" s="207" t="s">
        <v>209</v>
      </c>
    </row>
    <row r="978" spans="1:8" ht="20.25">
      <c r="A978" s="296">
        <v>10.45</v>
      </c>
      <c r="B978" s="284" t="s">
        <v>557</v>
      </c>
      <c r="C978" s="193"/>
      <c r="D978" s="209"/>
      <c r="E978" s="209"/>
      <c r="F978" s="210"/>
      <c r="G978" s="211" t="s">
        <v>198</v>
      </c>
      <c r="H978" s="209"/>
    </row>
    <row r="979" spans="1:8" ht="20.25">
      <c r="A979" s="189"/>
      <c r="B979" s="187" t="s">
        <v>736</v>
      </c>
      <c r="C979" s="188"/>
      <c r="D979" s="198" t="s">
        <v>198</v>
      </c>
      <c r="E979" s="191" t="s">
        <v>198</v>
      </c>
      <c r="F979" s="195" t="s">
        <v>198</v>
      </c>
      <c r="G979" s="256" t="s">
        <v>198</v>
      </c>
      <c r="H979" s="228" t="s">
        <v>198</v>
      </c>
    </row>
    <row r="980" spans="1:8" ht="19.5">
      <c r="A980" s="189"/>
      <c r="B980" s="192" t="s">
        <v>558</v>
      </c>
      <c r="C980" s="188"/>
      <c r="D980" s="198">
        <v>50</v>
      </c>
      <c r="E980" s="191" t="s">
        <v>294</v>
      </c>
      <c r="F980" s="195">
        <v>6.25</v>
      </c>
      <c r="G980" s="256">
        <f>D980*F980</f>
        <v>312.5</v>
      </c>
      <c r="H980" s="197" t="s">
        <v>198</v>
      </c>
    </row>
    <row r="981" spans="1:8" ht="19.5">
      <c r="A981" s="189"/>
      <c r="B981" s="192" t="s">
        <v>554</v>
      </c>
      <c r="C981" s="188"/>
      <c r="D981" s="254">
        <v>0.05</v>
      </c>
      <c r="E981" s="191" t="s">
        <v>189</v>
      </c>
      <c r="F981" s="195">
        <v>287.5</v>
      </c>
      <c r="G981" s="256">
        <f>D981*F981</f>
        <v>14.375</v>
      </c>
      <c r="H981" s="189"/>
    </row>
    <row r="982" spans="1:8" ht="19.5">
      <c r="A982" s="189"/>
      <c r="B982" s="192" t="s">
        <v>555</v>
      </c>
      <c r="C982" s="188"/>
      <c r="D982" s="198">
        <v>0.02</v>
      </c>
      <c r="E982" s="191" t="s">
        <v>189</v>
      </c>
      <c r="F982" s="313">
        <v>10</v>
      </c>
      <c r="G982" s="256">
        <f>D982*F982</f>
        <v>0.2</v>
      </c>
      <c r="H982" s="189"/>
    </row>
    <row r="983" spans="1:8" ht="20.25">
      <c r="A983" s="265"/>
      <c r="B983" s="259"/>
      <c r="C983" s="260" t="s">
        <v>559</v>
      </c>
      <c r="D983" s="261">
        <v>1</v>
      </c>
      <c r="E983" s="262" t="s">
        <v>190</v>
      </c>
      <c r="F983" s="263" t="s">
        <v>208</v>
      </c>
      <c r="G983" s="264">
        <f>SUM(G979:G982)</f>
        <v>327.075</v>
      </c>
      <c r="H983" s="274" t="s">
        <v>209</v>
      </c>
    </row>
    <row r="984" spans="1:8" ht="20.25">
      <c r="A984" s="200"/>
      <c r="B984" s="201"/>
      <c r="C984" s="202"/>
      <c r="D984" s="203"/>
      <c r="E984" s="204"/>
      <c r="F984" s="205"/>
      <c r="G984" s="206"/>
      <c r="H984" s="207"/>
    </row>
    <row r="985" spans="1:8" ht="21.75">
      <c r="A985" s="208">
        <v>11</v>
      </c>
      <c r="B985" s="220" t="s">
        <v>560</v>
      </c>
      <c r="C985" s="193"/>
      <c r="D985" s="209"/>
      <c r="E985" s="209"/>
      <c r="F985" s="210"/>
      <c r="G985" s="211" t="s">
        <v>198</v>
      </c>
      <c r="H985" s="209"/>
    </row>
    <row r="986" spans="1:8" ht="20.25">
      <c r="A986" s="208">
        <v>11.1</v>
      </c>
      <c r="B986" s="187" t="s">
        <v>561</v>
      </c>
      <c r="C986" s="188"/>
      <c r="D986" s="198" t="s">
        <v>198</v>
      </c>
      <c r="E986" s="191" t="s">
        <v>198</v>
      </c>
      <c r="F986" s="195" t="s">
        <v>198</v>
      </c>
      <c r="G986" s="256" t="s">
        <v>198</v>
      </c>
      <c r="H986" s="228" t="s">
        <v>198</v>
      </c>
    </row>
    <row r="987" spans="1:8" ht="20.25">
      <c r="A987" s="189"/>
      <c r="B987" s="187" t="s">
        <v>562</v>
      </c>
      <c r="C987" s="188"/>
      <c r="D987" s="198" t="s">
        <v>198</v>
      </c>
      <c r="E987" s="191" t="s">
        <v>198</v>
      </c>
      <c r="F987" s="195" t="s">
        <v>198</v>
      </c>
      <c r="G987" s="256" t="s">
        <v>198</v>
      </c>
      <c r="H987" s="228" t="s">
        <v>198</v>
      </c>
    </row>
    <row r="988" spans="1:8" ht="19.5">
      <c r="A988" s="189"/>
      <c r="B988" s="192"/>
      <c r="C988" s="188" t="s">
        <v>563</v>
      </c>
      <c r="D988" s="312">
        <v>0.725</v>
      </c>
      <c r="E988" s="191" t="s">
        <v>348</v>
      </c>
      <c r="F988" s="195">
        <v>415</v>
      </c>
      <c r="G988" s="256">
        <f>D988*F988</f>
        <v>300.875</v>
      </c>
      <c r="H988" s="228" t="s">
        <v>522</v>
      </c>
    </row>
    <row r="989" spans="1:8" ht="19.5">
      <c r="A989" s="189"/>
      <c r="B989" s="192"/>
      <c r="C989" s="188" t="s">
        <v>564</v>
      </c>
      <c r="D989" s="254">
        <v>0.25</v>
      </c>
      <c r="E989" s="191" t="s">
        <v>348</v>
      </c>
      <c r="F989" s="252">
        <v>388</v>
      </c>
      <c r="G989" s="256">
        <f>D989*F989</f>
        <v>97</v>
      </c>
      <c r="H989" s="189"/>
    </row>
    <row r="990" spans="1:8" ht="19.5">
      <c r="A990" s="189"/>
      <c r="B990" s="192"/>
      <c r="C990" s="188" t="s">
        <v>350</v>
      </c>
      <c r="D990" s="198">
        <v>0.15</v>
      </c>
      <c r="E990" s="191" t="s">
        <v>201</v>
      </c>
      <c r="F990" s="313">
        <v>12.92</v>
      </c>
      <c r="G990" s="256">
        <f>D990*F990</f>
        <v>1.938</v>
      </c>
      <c r="H990" s="189"/>
    </row>
    <row r="991" spans="1:8" ht="20.25">
      <c r="A991" s="200"/>
      <c r="B991" s="201"/>
      <c r="C991" s="202" t="s">
        <v>565</v>
      </c>
      <c r="D991" s="203">
        <v>1</v>
      </c>
      <c r="E991" s="204" t="s">
        <v>190</v>
      </c>
      <c r="F991" s="205" t="s">
        <v>208</v>
      </c>
      <c r="G991" s="206">
        <f>SUM(G986:G990)</f>
        <v>399.813</v>
      </c>
      <c r="H991" s="207" t="s">
        <v>209</v>
      </c>
    </row>
    <row r="992" spans="1:8" ht="20.25">
      <c r="A992" s="208">
        <v>11.2</v>
      </c>
      <c r="B992" s="187" t="s">
        <v>566</v>
      </c>
      <c r="C992" s="193"/>
      <c r="D992" s="283" t="s">
        <v>198</v>
      </c>
      <c r="E992" s="211" t="s">
        <v>198</v>
      </c>
      <c r="F992" s="252" t="s">
        <v>198</v>
      </c>
      <c r="G992" s="273" t="s">
        <v>198</v>
      </c>
      <c r="H992" s="234" t="s">
        <v>198</v>
      </c>
    </row>
    <row r="993" spans="1:8" ht="20.25">
      <c r="A993" s="189"/>
      <c r="B993" s="187" t="s">
        <v>562</v>
      </c>
      <c r="C993" s="188"/>
      <c r="D993" s="198" t="s">
        <v>198</v>
      </c>
      <c r="E993" s="191" t="s">
        <v>198</v>
      </c>
      <c r="F993" s="195" t="s">
        <v>198</v>
      </c>
      <c r="G993" s="256" t="s">
        <v>198</v>
      </c>
      <c r="H993" s="228" t="s">
        <v>198</v>
      </c>
    </row>
    <row r="994" spans="1:8" ht="19.5">
      <c r="A994" s="189"/>
      <c r="B994" s="192"/>
      <c r="C994" s="188" t="s">
        <v>563</v>
      </c>
      <c r="D994" s="312">
        <v>0.725</v>
      </c>
      <c r="E994" s="191" t="s">
        <v>348</v>
      </c>
      <c r="F994" s="195">
        <v>415</v>
      </c>
      <c r="G994" s="256">
        <f>D994*F994</f>
        <v>300.875</v>
      </c>
      <c r="H994" s="189"/>
    </row>
    <row r="995" spans="1:8" ht="19.5">
      <c r="A995" s="189"/>
      <c r="B995" s="192"/>
      <c r="C995" s="188" t="s">
        <v>567</v>
      </c>
      <c r="D995" s="254">
        <v>0.25</v>
      </c>
      <c r="E995" s="191" t="s">
        <v>348</v>
      </c>
      <c r="F995" s="252">
        <v>830</v>
      </c>
      <c r="G995" s="256">
        <f>D995*F995</f>
        <v>207.5</v>
      </c>
      <c r="H995" s="189"/>
    </row>
    <row r="996" spans="1:8" ht="19.5">
      <c r="A996" s="189"/>
      <c r="B996" s="192"/>
      <c r="C996" s="188" t="s">
        <v>350</v>
      </c>
      <c r="D996" s="198">
        <v>0.15</v>
      </c>
      <c r="E996" s="191" t="s">
        <v>201</v>
      </c>
      <c r="F996" s="313">
        <v>12.92</v>
      </c>
      <c r="G996" s="256">
        <f>D996*F996</f>
        <v>1.938</v>
      </c>
      <c r="H996" s="189"/>
    </row>
    <row r="997" spans="1:8" ht="20.25">
      <c r="A997" s="200"/>
      <c r="B997" s="201"/>
      <c r="C997" s="202" t="s">
        <v>565</v>
      </c>
      <c r="D997" s="203">
        <v>1</v>
      </c>
      <c r="E997" s="204" t="s">
        <v>190</v>
      </c>
      <c r="F997" s="205" t="s">
        <v>208</v>
      </c>
      <c r="G997" s="206">
        <f>SUM(G992:G996)</f>
        <v>510.313</v>
      </c>
      <c r="H997" s="207" t="s">
        <v>209</v>
      </c>
    </row>
    <row r="998" spans="1:8" ht="20.25">
      <c r="A998" s="208">
        <v>11.3</v>
      </c>
      <c r="B998" s="284" t="s">
        <v>568</v>
      </c>
      <c r="C998" s="193"/>
      <c r="D998" s="198" t="s">
        <v>198</v>
      </c>
      <c r="E998" s="191" t="s">
        <v>198</v>
      </c>
      <c r="F998" s="195" t="s">
        <v>198</v>
      </c>
      <c r="G998" s="256" t="s">
        <v>198</v>
      </c>
      <c r="H998" s="228" t="s">
        <v>198</v>
      </c>
    </row>
    <row r="999" spans="1:8" ht="20.25">
      <c r="A999" s="189"/>
      <c r="B999" s="187" t="s">
        <v>362</v>
      </c>
      <c r="C999" s="188"/>
      <c r="D999" s="198" t="s">
        <v>198</v>
      </c>
      <c r="E999" s="191" t="s">
        <v>198</v>
      </c>
      <c r="F999" s="195" t="s">
        <v>198</v>
      </c>
      <c r="G999" s="256" t="s">
        <v>198</v>
      </c>
      <c r="H999" s="228" t="s">
        <v>198</v>
      </c>
    </row>
    <row r="1000" spans="1:8" ht="19.5">
      <c r="A1000" s="189"/>
      <c r="B1000" s="192"/>
      <c r="C1000" s="188" t="s">
        <v>569</v>
      </c>
      <c r="D1000" s="312">
        <v>0.57</v>
      </c>
      <c r="E1000" s="191" t="s">
        <v>348</v>
      </c>
      <c r="F1000" s="195">
        <v>637</v>
      </c>
      <c r="G1000" s="256">
        <f>D1000*F1000</f>
        <v>363.09</v>
      </c>
      <c r="H1000" s="228" t="s">
        <v>522</v>
      </c>
    </row>
    <row r="1001" spans="1:8" ht="19.5">
      <c r="A1001" s="189"/>
      <c r="B1001" s="192"/>
      <c r="C1001" s="188" t="s">
        <v>567</v>
      </c>
      <c r="D1001" s="254">
        <v>0.25</v>
      </c>
      <c r="E1001" s="191" t="s">
        <v>348</v>
      </c>
      <c r="F1001" s="252">
        <v>830</v>
      </c>
      <c r="G1001" s="256">
        <f>D1001*F1001</f>
        <v>207.5</v>
      </c>
      <c r="H1001" s="189"/>
    </row>
    <row r="1002" spans="1:8" ht="19.5">
      <c r="A1002" s="189"/>
      <c r="B1002" s="192"/>
      <c r="C1002" s="188" t="s">
        <v>350</v>
      </c>
      <c r="D1002" s="198">
        <v>0.15</v>
      </c>
      <c r="E1002" s="191" t="s">
        <v>201</v>
      </c>
      <c r="F1002" s="313">
        <v>12.92</v>
      </c>
      <c r="G1002" s="256">
        <f>D1002*F1002</f>
        <v>1.938</v>
      </c>
      <c r="H1002" s="189"/>
    </row>
    <row r="1003" spans="1:8" ht="20.25">
      <c r="A1003" s="200"/>
      <c r="B1003" s="201"/>
      <c r="C1003" s="202" t="s">
        <v>570</v>
      </c>
      <c r="D1003" s="203">
        <v>1</v>
      </c>
      <c r="E1003" s="204" t="s">
        <v>190</v>
      </c>
      <c r="F1003" s="205" t="s">
        <v>208</v>
      </c>
      <c r="G1003" s="206">
        <f>SUM(G998:G1002)</f>
        <v>572.5279999999999</v>
      </c>
      <c r="H1003" s="207" t="s">
        <v>209</v>
      </c>
    </row>
    <row r="1004" spans="1:8" ht="20.25">
      <c r="A1004" s="208">
        <v>11.4</v>
      </c>
      <c r="B1004" s="284" t="s">
        <v>571</v>
      </c>
      <c r="C1004" s="193"/>
      <c r="D1004" s="283" t="s">
        <v>198</v>
      </c>
      <c r="E1004" s="211" t="s">
        <v>198</v>
      </c>
      <c r="F1004" s="252" t="s">
        <v>198</v>
      </c>
      <c r="G1004" s="273" t="s">
        <v>198</v>
      </c>
      <c r="H1004" s="234" t="s">
        <v>198</v>
      </c>
    </row>
    <row r="1005" spans="1:8" ht="20.25">
      <c r="A1005" s="189"/>
      <c r="B1005" s="187" t="s">
        <v>362</v>
      </c>
      <c r="C1005" s="188"/>
      <c r="D1005" s="198" t="s">
        <v>198</v>
      </c>
      <c r="E1005" s="191" t="s">
        <v>198</v>
      </c>
      <c r="F1005" s="195" t="s">
        <v>198</v>
      </c>
      <c r="G1005" s="256" t="s">
        <v>198</v>
      </c>
      <c r="H1005" s="228" t="s">
        <v>198</v>
      </c>
    </row>
    <row r="1006" spans="1:8" ht="19.5">
      <c r="A1006" s="265"/>
      <c r="B1006" s="259"/>
      <c r="C1006" s="260" t="s">
        <v>572</v>
      </c>
      <c r="D1006" s="332">
        <v>0.57</v>
      </c>
      <c r="E1006" s="262" t="s">
        <v>348</v>
      </c>
      <c r="F1006" s="306">
        <v>787</v>
      </c>
      <c r="G1006" s="307">
        <f>D1006*F1006</f>
        <v>448.59</v>
      </c>
      <c r="H1006" s="333" t="s">
        <v>522</v>
      </c>
    </row>
    <row r="1007" spans="1:8" ht="19.5">
      <c r="A1007" s="189"/>
      <c r="B1007" s="192"/>
      <c r="C1007" s="188" t="s">
        <v>567</v>
      </c>
      <c r="D1007" s="254">
        <v>0.25</v>
      </c>
      <c r="E1007" s="191" t="s">
        <v>348</v>
      </c>
      <c r="F1007" s="195">
        <v>830</v>
      </c>
      <c r="G1007" s="256">
        <f>D1007*F1007</f>
        <v>207.5</v>
      </c>
      <c r="H1007" s="189"/>
    </row>
    <row r="1008" spans="1:8" ht="19.5">
      <c r="A1008" s="189"/>
      <c r="B1008" s="192"/>
      <c r="C1008" s="188" t="s">
        <v>350</v>
      </c>
      <c r="D1008" s="198">
        <v>0.15</v>
      </c>
      <c r="E1008" s="191" t="s">
        <v>201</v>
      </c>
      <c r="F1008" s="313">
        <v>12.92</v>
      </c>
      <c r="G1008" s="256">
        <f>D1008*F1008</f>
        <v>1.938</v>
      </c>
      <c r="H1008" s="189"/>
    </row>
    <row r="1009" spans="1:8" ht="20.25">
      <c r="A1009" s="200"/>
      <c r="B1009" s="201"/>
      <c r="C1009" s="202" t="s">
        <v>573</v>
      </c>
      <c r="D1009" s="203">
        <v>1</v>
      </c>
      <c r="E1009" s="204" t="s">
        <v>190</v>
      </c>
      <c r="F1009" s="205" t="s">
        <v>208</v>
      </c>
      <c r="G1009" s="206">
        <f>SUM(G1004:G1008)</f>
        <v>658.0279999999999</v>
      </c>
      <c r="H1009" s="207" t="s">
        <v>209</v>
      </c>
    </row>
    <row r="1010" spans="1:8" ht="20.25">
      <c r="A1010" s="208">
        <v>11.5</v>
      </c>
      <c r="B1010" s="284" t="s">
        <v>574</v>
      </c>
      <c r="C1010" s="193"/>
      <c r="D1010" s="283" t="s">
        <v>198</v>
      </c>
      <c r="E1010" s="211" t="s">
        <v>198</v>
      </c>
      <c r="F1010" s="252" t="s">
        <v>198</v>
      </c>
      <c r="G1010" s="273" t="s">
        <v>198</v>
      </c>
      <c r="H1010" s="234" t="s">
        <v>198</v>
      </c>
    </row>
    <row r="1011" spans="1:8" ht="20.25">
      <c r="A1011" s="189"/>
      <c r="B1011" s="187" t="s">
        <v>362</v>
      </c>
      <c r="C1011" s="188"/>
      <c r="D1011" s="198" t="s">
        <v>198</v>
      </c>
      <c r="E1011" s="191" t="s">
        <v>198</v>
      </c>
      <c r="F1011" s="195" t="s">
        <v>198</v>
      </c>
      <c r="G1011" s="256" t="s">
        <v>198</v>
      </c>
      <c r="H1011" s="228" t="s">
        <v>198</v>
      </c>
    </row>
    <row r="1012" spans="1:8" ht="19.5">
      <c r="A1012" s="189"/>
      <c r="B1012" s="192"/>
      <c r="C1012" s="188" t="s">
        <v>575</v>
      </c>
      <c r="D1012" s="312">
        <v>0.57</v>
      </c>
      <c r="E1012" s="191" t="s">
        <v>348</v>
      </c>
      <c r="F1012" s="195">
        <v>1412</v>
      </c>
      <c r="G1012" s="256">
        <f>D1012*F1012</f>
        <v>804.8399999999999</v>
      </c>
      <c r="H1012" s="228" t="s">
        <v>522</v>
      </c>
    </row>
    <row r="1013" spans="1:8" ht="19.5">
      <c r="A1013" s="189"/>
      <c r="B1013" s="192"/>
      <c r="C1013" s="188" t="s">
        <v>567</v>
      </c>
      <c r="D1013" s="254">
        <v>0.25</v>
      </c>
      <c r="E1013" s="191" t="s">
        <v>348</v>
      </c>
      <c r="F1013" s="252">
        <v>830</v>
      </c>
      <c r="G1013" s="256">
        <f>D1013*F1013</f>
        <v>207.5</v>
      </c>
      <c r="H1013" s="189"/>
    </row>
    <row r="1014" spans="1:8" ht="19.5">
      <c r="A1014" s="189"/>
      <c r="B1014" s="192"/>
      <c r="C1014" s="188" t="s">
        <v>350</v>
      </c>
      <c r="D1014" s="198">
        <v>0.15</v>
      </c>
      <c r="E1014" s="191" t="s">
        <v>201</v>
      </c>
      <c r="F1014" s="313">
        <v>12.92</v>
      </c>
      <c r="G1014" s="256">
        <f>D1014*F1014</f>
        <v>1.938</v>
      </c>
      <c r="H1014" s="189"/>
    </row>
    <row r="1015" spans="1:8" ht="20.25">
      <c r="A1015" s="200"/>
      <c r="B1015" s="201"/>
      <c r="C1015" s="202" t="s">
        <v>576</v>
      </c>
      <c r="D1015" s="203">
        <v>1</v>
      </c>
      <c r="E1015" s="204" t="s">
        <v>190</v>
      </c>
      <c r="F1015" s="205" t="s">
        <v>208</v>
      </c>
      <c r="G1015" s="206">
        <f>SUM(G1010:G1014)</f>
        <v>1014.2779999999999</v>
      </c>
      <c r="H1015" s="207" t="s">
        <v>209</v>
      </c>
    </row>
    <row r="1016" spans="1:8" ht="20.25">
      <c r="A1016" s="208">
        <v>11.6</v>
      </c>
      <c r="B1016" s="284" t="s">
        <v>577</v>
      </c>
      <c r="C1016" s="193"/>
      <c r="D1016" s="283" t="s">
        <v>198</v>
      </c>
      <c r="E1016" s="211" t="s">
        <v>198</v>
      </c>
      <c r="F1016" s="252" t="s">
        <v>198</v>
      </c>
      <c r="G1016" s="273" t="s">
        <v>198</v>
      </c>
      <c r="H1016" s="234" t="s">
        <v>198</v>
      </c>
    </row>
    <row r="1017" spans="1:8" ht="20.25">
      <c r="A1017" s="189"/>
      <c r="B1017" s="187" t="s">
        <v>362</v>
      </c>
      <c r="C1017" s="188"/>
      <c r="D1017" s="198" t="s">
        <v>198</v>
      </c>
      <c r="E1017" s="191" t="s">
        <v>198</v>
      </c>
      <c r="F1017" s="195" t="s">
        <v>198</v>
      </c>
      <c r="G1017" s="256" t="s">
        <v>198</v>
      </c>
      <c r="H1017" s="228" t="s">
        <v>198</v>
      </c>
    </row>
    <row r="1018" spans="1:8" ht="19.5">
      <c r="A1018" s="189"/>
      <c r="B1018" s="192"/>
      <c r="C1018" s="188" t="s">
        <v>578</v>
      </c>
      <c r="D1018" s="312">
        <v>0.478</v>
      </c>
      <c r="E1018" s="191" t="s">
        <v>348</v>
      </c>
      <c r="F1018" s="195">
        <v>787</v>
      </c>
      <c r="G1018" s="256">
        <f>D1018*F1018</f>
        <v>376.186</v>
      </c>
      <c r="H1018" s="228" t="s">
        <v>522</v>
      </c>
    </row>
    <row r="1019" spans="1:8" ht="19.5">
      <c r="A1019" s="189"/>
      <c r="B1019" s="192"/>
      <c r="C1019" s="188" t="s">
        <v>567</v>
      </c>
      <c r="D1019" s="254">
        <v>0.25</v>
      </c>
      <c r="E1019" s="191" t="s">
        <v>348</v>
      </c>
      <c r="F1019" s="252">
        <v>830</v>
      </c>
      <c r="G1019" s="256">
        <f>D1019*F1019</f>
        <v>207.5</v>
      </c>
      <c r="H1019" s="189"/>
    </row>
    <row r="1020" spans="1:8" ht="19.5">
      <c r="A1020" s="189"/>
      <c r="B1020" s="192"/>
      <c r="C1020" s="188" t="s">
        <v>350</v>
      </c>
      <c r="D1020" s="198">
        <v>0.15</v>
      </c>
      <c r="E1020" s="191" t="s">
        <v>201</v>
      </c>
      <c r="F1020" s="313">
        <v>12.92</v>
      </c>
      <c r="G1020" s="256">
        <f>D1020*F1020</f>
        <v>1.938</v>
      </c>
      <c r="H1020" s="189"/>
    </row>
    <row r="1021" spans="1:8" ht="20.25">
      <c r="A1021" s="200"/>
      <c r="B1021" s="201"/>
      <c r="C1021" s="202" t="s">
        <v>573</v>
      </c>
      <c r="D1021" s="203">
        <v>1</v>
      </c>
      <c r="E1021" s="204" t="s">
        <v>190</v>
      </c>
      <c r="F1021" s="205" t="s">
        <v>208</v>
      </c>
      <c r="G1021" s="206">
        <f>SUM(G1016:G1020)</f>
        <v>585.6239999999999</v>
      </c>
      <c r="H1021" s="207" t="s">
        <v>209</v>
      </c>
    </row>
    <row r="1022" spans="1:8" ht="20.25">
      <c r="A1022" s="208">
        <v>11.7</v>
      </c>
      <c r="B1022" s="284" t="s">
        <v>579</v>
      </c>
      <c r="C1022" s="193"/>
      <c r="D1022" s="283" t="s">
        <v>198</v>
      </c>
      <c r="E1022" s="211" t="s">
        <v>198</v>
      </c>
      <c r="F1022" s="252" t="s">
        <v>198</v>
      </c>
      <c r="G1022" s="273" t="s">
        <v>198</v>
      </c>
      <c r="H1022" s="234" t="s">
        <v>198</v>
      </c>
    </row>
    <row r="1023" spans="1:8" ht="20.25">
      <c r="A1023" s="189"/>
      <c r="B1023" s="187" t="s">
        <v>362</v>
      </c>
      <c r="C1023" s="188"/>
      <c r="D1023" s="198" t="s">
        <v>198</v>
      </c>
      <c r="E1023" s="191" t="s">
        <v>198</v>
      </c>
      <c r="F1023" s="195" t="s">
        <v>198</v>
      </c>
      <c r="G1023" s="256" t="s">
        <v>198</v>
      </c>
      <c r="H1023" s="228" t="s">
        <v>198</v>
      </c>
    </row>
    <row r="1024" spans="1:8" ht="19.5">
      <c r="A1024" s="189"/>
      <c r="B1024" s="192"/>
      <c r="C1024" s="188" t="s">
        <v>580</v>
      </c>
      <c r="D1024" s="312">
        <v>0.478</v>
      </c>
      <c r="E1024" s="191" t="s">
        <v>348</v>
      </c>
      <c r="F1024" s="316">
        <v>1482</v>
      </c>
      <c r="G1024" s="256">
        <f>D1024*F1024</f>
        <v>708.396</v>
      </c>
      <c r="H1024" s="228" t="s">
        <v>522</v>
      </c>
    </row>
    <row r="1025" spans="1:8" ht="19.5">
      <c r="A1025" s="189"/>
      <c r="B1025" s="192"/>
      <c r="C1025" s="188" t="s">
        <v>567</v>
      </c>
      <c r="D1025" s="254">
        <v>0.25</v>
      </c>
      <c r="E1025" s="191" t="s">
        <v>348</v>
      </c>
      <c r="F1025" s="252">
        <v>830</v>
      </c>
      <c r="G1025" s="256">
        <f>D1025*F1025</f>
        <v>207.5</v>
      </c>
      <c r="H1025" s="189"/>
    </row>
    <row r="1026" spans="1:8" ht="19.5">
      <c r="A1026" s="189"/>
      <c r="B1026" s="192"/>
      <c r="C1026" s="188" t="s">
        <v>350</v>
      </c>
      <c r="D1026" s="198">
        <v>0.15</v>
      </c>
      <c r="E1026" s="191" t="s">
        <v>201</v>
      </c>
      <c r="F1026" s="313">
        <v>12.92</v>
      </c>
      <c r="G1026" s="256">
        <f>D1026*F1026</f>
        <v>1.938</v>
      </c>
      <c r="H1026" s="189"/>
    </row>
    <row r="1027" spans="1:8" ht="20.25">
      <c r="A1027" s="200"/>
      <c r="B1027" s="201"/>
      <c r="C1027" s="202" t="s">
        <v>576</v>
      </c>
      <c r="D1027" s="203">
        <v>1</v>
      </c>
      <c r="E1027" s="204" t="s">
        <v>190</v>
      </c>
      <c r="F1027" s="205" t="s">
        <v>208</v>
      </c>
      <c r="G1027" s="206">
        <f>SUM(G1022:G1026)</f>
        <v>917.834</v>
      </c>
      <c r="H1027" s="207" t="s">
        <v>209</v>
      </c>
    </row>
    <row r="1028" spans="1:8" ht="20.25">
      <c r="A1028" s="208">
        <v>11.8</v>
      </c>
      <c r="B1028" s="284" t="s">
        <v>581</v>
      </c>
      <c r="C1028" s="193"/>
      <c r="D1028" s="283" t="s">
        <v>198</v>
      </c>
      <c r="E1028" s="211" t="s">
        <v>198</v>
      </c>
      <c r="F1028" s="252" t="s">
        <v>198</v>
      </c>
      <c r="G1028" s="273" t="s">
        <v>198</v>
      </c>
      <c r="H1028" s="234" t="s">
        <v>198</v>
      </c>
    </row>
    <row r="1029" spans="1:8" ht="20.25">
      <c r="A1029" s="189"/>
      <c r="B1029" s="187" t="s">
        <v>582</v>
      </c>
      <c r="C1029" s="188"/>
      <c r="D1029" s="198" t="s">
        <v>198</v>
      </c>
      <c r="E1029" s="191" t="s">
        <v>198</v>
      </c>
      <c r="F1029" s="195" t="s">
        <v>198</v>
      </c>
      <c r="G1029" s="256" t="s">
        <v>198</v>
      </c>
      <c r="H1029" s="228" t="s">
        <v>198</v>
      </c>
    </row>
    <row r="1030" spans="1:8" ht="19.5">
      <c r="A1030" s="189"/>
      <c r="B1030" s="192"/>
      <c r="C1030" s="188" t="s">
        <v>583</v>
      </c>
      <c r="D1030" s="312">
        <v>0.547</v>
      </c>
      <c r="E1030" s="191" t="s">
        <v>348</v>
      </c>
      <c r="F1030" s="195">
        <v>787</v>
      </c>
      <c r="G1030" s="256">
        <f>D1030*F1030</f>
        <v>430.48900000000003</v>
      </c>
      <c r="H1030" s="228" t="s">
        <v>522</v>
      </c>
    </row>
    <row r="1031" spans="1:8" ht="19.5">
      <c r="A1031" s="189"/>
      <c r="B1031" s="192"/>
      <c r="C1031" s="188" t="s">
        <v>567</v>
      </c>
      <c r="D1031" s="254">
        <v>0.25</v>
      </c>
      <c r="E1031" s="191" t="s">
        <v>348</v>
      </c>
      <c r="F1031" s="252">
        <v>830</v>
      </c>
      <c r="G1031" s="256">
        <f>D1031*F1031</f>
        <v>207.5</v>
      </c>
      <c r="H1031" s="189"/>
    </row>
    <row r="1032" spans="1:8" ht="19.5">
      <c r="A1032" s="189"/>
      <c r="B1032" s="192"/>
      <c r="C1032" s="188" t="s">
        <v>350</v>
      </c>
      <c r="D1032" s="198">
        <v>0.15</v>
      </c>
      <c r="E1032" s="191" t="s">
        <v>201</v>
      </c>
      <c r="F1032" s="313">
        <v>12.92</v>
      </c>
      <c r="G1032" s="256">
        <f>D1032*F1032</f>
        <v>1.938</v>
      </c>
      <c r="H1032" s="189"/>
    </row>
    <row r="1033" spans="1:8" ht="20.25">
      <c r="A1033" s="200"/>
      <c r="B1033" s="201"/>
      <c r="C1033" s="202" t="s">
        <v>584</v>
      </c>
      <c r="D1033" s="203">
        <v>1</v>
      </c>
      <c r="E1033" s="204" t="s">
        <v>190</v>
      </c>
      <c r="F1033" s="205" t="s">
        <v>208</v>
      </c>
      <c r="G1033" s="206">
        <f>SUM(G1028:G1032)</f>
        <v>639.927</v>
      </c>
      <c r="H1033" s="207" t="s">
        <v>209</v>
      </c>
    </row>
    <row r="1034" spans="1:8" ht="20.25">
      <c r="A1034" s="208">
        <v>11.9</v>
      </c>
      <c r="B1034" s="187" t="s">
        <v>585</v>
      </c>
      <c r="C1034" s="188"/>
      <c r="D1034" s="198" t="s">
        <v>198</v>
      </c>
      <c r="E1034" s="211" t="s">
        <v>198</v>
      </c>
      <c r="F1034" s="252" t="s">
        <v>198</v>
      </c>
      <c r="G1034" s="273" t="s">
        <v>198</v>
      </c>
      <c r="H1034" s="234" t="s">
        <v>198</v>
      </c>
    </row>
    <row r="1035" spans="1:8" ht="20.25">
      <c r="A1035" s="189"/>
      <c r="B1035" s="187" t="s">
        <v>582</v>
      </c>
      <c r="C1035" s="188"/>
      <c r="D1035" s="198" t="s">
        <v>198</v>
      </c>
      <c r="E1035" s="191" t="s">
        <v>198</v>
      </c>
      <c r="F1035" s="195" t="s">
        <v>198</v>
      </c>
      <c r="G1035" s="256" t="s">
        <v>198</v>
      </c>
      <c r="H1035" s="228" t="s">
        <v>198</v>
      </c>
    </row>
    <row r="1036" spans="1:8" ht="19.5">
      <c r="A1036" s="189"/>
      <c r="B1036" s="192"/>
      <c r="C1036" s="188" t="s">
        <v>586</v>
      </c>
      <c r="D1036" s="312">
        <v>0.547</v>
      </c>
      <c r="E1036" s="191" t="s">
        <v>348</v>
      </c>
      <c r="F1036" s="195">
        <v>1992</v>
      </c>
      <c r="G1036" s="256">
        <f>D1036*F1036</f>
        <v>1089.624</v>
      </c>
      <c r="H1036" s="228" t="s">
        <v>522</v>
      </c>
    </row>
    <row r="1037" spans="1:8" ht="19.5">
      <c r="A1037" s="189"/>
      <c r="B1037" s="192"/>
      <c r="C1037" s="188" t="s">
        <v>567</v>
      </c>
      <c r="D1037" s="254">
        <v>0.25</v>
      </c>
      <c r="E1037" s="191" t="s">
        <v>348</v>
      </c>
      <c r="F1037" s="252">
        <v>830</v>
      </c>
      <c r="G1037" s="256">
        <f>D1037*F1037</f>
        <v>207.5</v>
      </c>
      <c r="H1037" s="189"/>
    </row>
    <row r="1038" spans="1:8" ht="19.5">
      <c r="A1038" s="189"/>
      <c r="B1038" s="192"/>
      <c r="C1038" s="188" t="s">
        <v>350</v>
      </c>
      <c r="D1038" s="198">
        <v>0.15</v>
      </c>
      <c r="E1038" s="191" t="s">
        <v>201</v>
      </c>
      <c r="F1038" s="313">
        <v>12.92</v>
      </c>
      <c r="G1038" s="256">
        <f>D1038*F1038</f>
        <v>1.938</v>
      </c>
      <c r="H1038" s="189"/>
    </row>
    <row r="1039" spans="1:8" ht="20.25">
      <c r="A1039" s="200"/>
      <c r="B1039" s="201"/>
      <c r="C1039" s="202" t="s">
        <v>587</v>
      </c>
      <c r="D1039" s="203">
        <v>1</v>
      </c>
      <c r="E1039" s="204" t="s">
        <v>190</v>
      </c>
      <c r="F1039" s="205" t="s">
        <v>208</v>
      </c>
      <c r="G1039" s="206">
        <f>SUM(G1034:G1038)</f>
        <v>1299.0620000000001</v>
      </c>
      <c r="H1039" s="207" t="s">
        <v>209</v>
      </c>
    </row>
    <row r="1040" spans="1:8" ht="20.25">
      <c r="A1040" s="296">
        <v>11.1</v>
      </c>
      <c r="B1040" s="187" t="s">
        <v>588</v>
      </c>
      <c r="C1040" s="188"/>
      <c r="D1040" s="198" t="s">
        <v>198</v>
      </c>
      <c r="E1040" s="191" t="s">
        <v>198</v>
      </c>
      <c r="F1040" s="195" t="s">
        <v>198</v>
      </c>
      <c r="G1040" s="256" t="s">
        <v>198</v>
      </c>
      <c r="H1040" s="228" t="s">
        <v>198</v>
      </c>
    </row>
    <row r="1041" spans="1:8" ht="20.25">
      <c r="A1041" s="189"/>
      <c r="B1041" s="187" t="s">
        <v>582</v>
      </c>
      <c r="C1041" s="188"/>
      <c r="D1041" s="198" t="s">
        <v>198</v>
      </c>
      <c r="E1041" s="191" t="s">
        <v>198</v>
      </c>
      <c r="F1041" s="195" t="s">
        <v>198</v>
      </c>
      <c r="G1041" s="256" t="s">
        <v>198</v>
      </c>
      <c r="H1041" s="228" t="s">
        <v>198</v>
      </c>
    </row>
    <row r="1042" spans="1:8" ht="19.5">
      <c r="A1042" s="189"/>
      <c r="B1042" s="192"/>
      <c r="C1042" s="188" t="s">
        <v>589</v>
      </c>
      <c r="D1042" s="312">
        <v>0.547</v>
      </c>
      <c r="E1042" s="191" t="s">
        <v>348</v>
      </c>
      <c r="F1042" s="316">
        <v>1482</v>
      </c>
      <c r="G1042" s="256">
        <f>D1042*F1042</f>
        <v>810.6540000000001</v>
      </c>
      <c r="H1042" s="228" t="s">
        <v>522</v>
      </c>
    </row>
    <row r="1043" spans="1:8" ht="19.5">
      <c r="A1043" s="265"/>
      <c r="B1043" s="259"/>
      <c r="C1043" s="260" t="s">
        <v>567</v>
      </c>
      <c r="D1043" s="331">
        <v>0.25</v>
      </c>
      <c r="E1043" s="262" t="s">
        <v>348</v>
      </c>
      <c r="F1043" s="306">
        <v>830</v>
      </c>
      <c r="G1043" s="307">
        <f>D1043*F1043</f>
        <v>207.5</v>
      </c>
      <c r="H1043" s="265"/>
    </row>
    <row r="1044" spans="1:8" ht="19.5">
      <c r="A1044" s="189"/>
      <c r="B1044" s="192"/>
      <c r="C1044" s="188" t="s">
        <v>350</v>
      </c>
      <c r="D1044" s="198">
        <v>0.15</v>
      </c>
      <c r="E1044" s="191" t="s">
        <v>201</v>
      </c>
      <c r="F1044" s="255">
        <v>12.92</v>
      </c>
      <c r="G1044" s="256">
        <f>D1044*F1044</f>
        <v>1.938</v>
      </c>
      <c r="H1044" s="189"/>
    </row>
    <row r="1045" spans="1:8" ht="20.25">
      <c r="A1045" s="200"/>
      <c r="B1045" s="201"/>
      <c r="C1045" s="202" t="s">
        <v>590</v>
      </c>
      <c r="D1045" s="203">
        <v>1</v>
      </c>
      <c r="E1045" s="204" t="s">
        <v>190</v>
      </c>
      <c r="F1045" s="205" t="s">
        <v>208</v>
      </c>
      <c r="G1045" s="206">
        <f>SUM(G1040:G1044)</f>
        <v>1020.0920000000001</v>
      </c>
      <c r="H1045" s="207" t="s">
        <v>209</v>
      </c>
    </row>
    <row r="1046" spans="1:8" ht="20.25">
      <c r="A1046" s="208">
        <v>11.11</v>
      </c>
      <c r="B1046" s="284" t="s">
        <v>591</v>
      </c>
      <c r="C1046" s="193"/>
      <c r="D1046" s="283" t="s">
        <v>198</v>
      </c>
      <c r="E1046" s="211" t="s">
        <v>198</v>
      </c>
      <c r="F1046" s="252" t="s">
        <v>198</v>
      </c>
      <c r="G1046" s="273" t="s">
        <v>198</v>
      </c>
      <c r="H1046" s="234" t="s">
        <v>198</v>
      </c>
    </row>
    <row r="1047" spans="1:8" ht="20.25">
      <c r="A1047" s="189"/>
      <c r="B1047" s="187" t="s">
        <v>592</v>
      </c>
      <c r="C1047" s="188"/>
      <c r="D1047" s="198" t="s">
        <v>198</v>
      </c>
      <c r="E1047" s="191" t="s">
        <v>198</v>
      </c>
      <c r="F1047" s="195" t="s">
        <v>198</v>
      </c>
      <c r="G1047" s="256" t="s">
        <v>198</v>
      </c>
      <c r="H1047" s="228" t="s">
        <v>198</v>
      </c>
    </row>
    <row r="1048" spans="1:8" ht="19.5">
      <c r="A1048" s="189"/>
      <c r="B1048" s="192"/>
      <c r="C1048" s="188" t="s">
        <v>373</v>
      </c>
      <c r="D1048" s="254">
        <v>1</v>
      </c>
      <c r="E1048" s="191" t="s">
        <v>190</v>
      </c>
      <c r="F1048" s="195">
        <v>69.58</v>
      </c>
      <c r="G1048" s="256">
        <f>D1048*F1048</f>
        <v>69.58</v>
      </c>
      <c r="H1048" s="314" t="s">
        <v>374</v>
      </c>
    </row>
    <row r="1049" spans="1:8" ht="19.5">
      <c r="A1049" s="189"/>
      <c r="B1049" s="192"/>
      <c r="C1049" s="188" t="s">
        <v>593</v>
      </c>
      <c r="D1049" s="254">
        <v>0.48</v>
      </c>
      <c r="E1049" s="191" t="s">
        <v>348</v>
      </c>
      <c r="F1049" s="252">
        <v>388</v>
      </c>
      <c r="G1049" s="256">
        <f>D1049*F1049</f>
        <v>186.23999999999998</v>
      </c>
      <c r="H1049" s="189"/>
    </row>
    <row r="1050" spans="1:8" ht="19.5">
      <c r="A1050" s="189"/>
      <c r="B1050" s="192"/>
      <c r="C1050" s="188" t="s">
        <v>350</v>
      </c>
      <c r="D1050" s="198">
        <v>0.2</v>
      </c>
      <c r="E1050" s="191" t="s">
        <v>201</v>
      </c>
      <c r="F1050" s="313">
        <v>12.92</v>
      </c>
      <c r="G1050" s="256">
        <f>D1050*F1050</f>
        <v>2.584</v>
      </c>
      <c r="H1050" s="189"/>
    </row>
    <row r="1051" spans="1:8" ht="20.25">
      <c r="A1051" s="200"/>
      <c r="B1051" s="201"/>
      <c r="C1051" s="202" t="s">
        <v>737</v>
      </c>
      <c r="D1051" s="203">
        <v>1</v>
      </c>
      <c r="E1051" s="204" t="s">
        <v>190</v>
      </c>
      <c r="F1051" s="205" t="s">
        <v>208</v>
      </c>
      <c r="G1051" s="206">
        <f>SUM(G1046:G1050)</f>
        <v>258.404</v>
      </c>
      <c r="H1051" s="207" t="s">
        <v>209</v>
      </c>
    </row>
    <row r="1052" spans="1:8" ht="20.25">
      <c r="A1052" s="208">
        <v>11.12</v>
      </c>
      <c r="B1052" s="284" t="s">
        <v>594</v>
      </c>
      <c r="C1052" s="193"/>
      <c r="D1052" s="283" t="s">
        <v>198</v>
      </c>
      <c r="E1052" s="211" t="s">
        <v>198</v>
      </c>
      <c r="F1052" s="252" t="s">
        <v>198</v>
      </c>
      <c r="G1052" s="273" t="s">
        <v>198</v>
      </c>
      <c r="H1052" s="234" t="s">
        <v>198</v>
      </c>
    </row>
    <row r="1053" spans="1:8" ht="20.25">
      <c r="A1053" s="189"/>
      <c r="B1053" s="187" t="s">
        <v>595</v>
      </c>
      <c r="C1053" s="188"/>
      <c r="D1053" s="198" t="s">
        <v>198</v>
      </c>
      <c r="E1053" s="191" t="s">
        <v>198</v>
      </c>
      <c r="F1053" s="195" t="s">
        <v>198</v>
      </c>
      <c r="G1053" s="256" t="s">
        <v>198</v>
      </c>
      <c r="H1053" s="228" t="s">
        <v>198</v>
      </c>
    </row>
    <row r="1054" spans="1:8" ht="19.5">
      <c r="A1054" s="189"/>
      <c r="B1054" s="192"/>
      <c r="C1054" s="188" t="s">
        <v>373</v>
      </c>
      <c r="D1054" s="254">
        <v>1</v>
      </c>
      <c r="E1054" s="191" t="s">
        <v>190</v>
      </c>
      <c r="F1054" s="195">
        <v>69.58</v>
      </c>
      <c r="G1054" s="256">
        <f>D1054*F1054</f>
        <v>69.58</v>
      </c>
      <c r="H1054" s="314" t="s">
        <v>374</v>
      </c>
    </row>
    <row r="1055" spans="1:8" ht="19.5">
      <c r="A1055" s="200"/>
      <c r="B1055" s="201"/>
      <c r="C1055" s="202" t="s">
        <v>596</v>
      </c>
      <c r="D1055" s="247">
        <v>0.48</v>
      </c>
      <c r="E1055" s="204" t="s">
        <v>348</v>
      </c>
      <c r="F1055" s="248">
        <v>830</v>
      </c>
      <c r="G1055" s="282">
        <f>D1055*F1055</f>
        <v>398.4</v>
      </c>
      <c r="H1055" s="200"/>
    </row>
    <row r="1056" spans="1:8" ht="19.5">
      <c r="A1056" s="209"/>
      <c r="B1056" s="250"/>
      <c r="C1056" s="193" t="s">
        <v>350</v>
      </c>
      <c r="D1056" s="283">
        <v>0.2</v>
      </c>
      <c r="E1056" s="211" t="s">
        <v>201</v>
      </c>
      <c r="F1056" s="313">
        <v>12.92</v>
      </c>
      <c r="G1056" s="273">
        <f>D1056*F1056</f>
        <v>2.584</v>
      </c>
      <c r="H1056" s="209"/>
    </row>
    <row r="1057" spans="1:8" ht="20.25">
      <c r="A1057" s="200"/>
      <c r="B1057" s="201"/>
      <c r="C1057" s="202" t="s">
        <v>738</v>
      </c>
      <c r="D1057" s="203">
        <v>1</v>
      </c>
      <c r="E1057" s="204" t="s">
        <v>190</v>
      </c>
      <c r="F1057" s="205" t="s">
        <v>208</v>
      </c>
      <c r="G1057" s="206">
        <f>SUM(G1052:G1056)</f>
        <v>470.56399999999996</v>
      </c>
      <c r="H1057" s="207" t="s">
        <v>209</v>
      </c>
    </row>
    <row r="1058" spans="1:8" ht="20.25">
      <c r="A1058" s="296">
        <v>11.13</v>
      </c>
      <c r="B1058" s="284" t="s">
        <v>597</v>
      </c>
      <c r="C1058" s="193"/>
      <c r="D1058" s="283" t="s">
        <v>198</v>
      </c>
      <c r="E1058" s="211" t="s">
        <v>198</v>
      </c>
      <c r="F1058" s="252" t="s">
        <v>198</v>
      </c>
      <c r="G1058" s="273" t="s">
        <v>198</v>
      </c>
      <c r="H1058" s="234" t="s">
        <v>198</v>
      </c>
    </row>
    <row r="1059" spans="1:8" ht="20.25">
      <c r="A1059" s="189"/>
      <c r="B1059" s="187" t="s">
        <v>592</v>
      </c>
      <c r="C1059" s="188"/>
      <c r="D1059" s="198" t="s">
        <v>198</v>
      </c>
      <c r="E1059" s="191" t="s">
        <v>198</v>
      </c>
      <c r="F1059" s="195" t="s">
        <v>198</v>
      </c>
      <c r="G1059" s="256" t="s">
        <v>198</v>
      </c>
      <c r="H1059" s="228" t="s">
        <v>198</v>
      </c>
    </row>
    <row r="1060" spans="1:8" ht="19.5">
      <c r="A1060" s="189"/>
      <c r="B1060" s="192"/>
      <c r="C1060" s="188" t="s">
        <v>381</v>
      </c>
      <c r="D1060" s="254">
        <v>1</v>
      </c>
      <c r="E1060" s="191" t="s">
        <v>190</v>
      </c>
      <c r="F1060" s="195">
        <v>106.5</v>
      </c>
      <c r="G1060" s="256">
        <f>D1060*F1060</f>
        <v>106.5</v>
      </c>
      <c r="H1060" s="314" t="s">
        <v>374</v>
      </c>
    </row>
    <row r="1061" spans="1:8" ht="19.5">
      <c r="A1061" s="189"/>
      <c r="B1061" s="192"/>
      <c r="C1061" s="188" t="s">
        <v>593</v>
      </c>
      <c r="D1061" s="254">
        <v>0.48</v>
      </c>
      <c r="E1061" s="191" t="s">
        <v>348</v>
      </c>
      <c r="F1061" s="252">
        <v>388</v>
      </c>
      <c r="G1061" s="256">
        <f>D1061*F1061</f>
        <v>186.23999999999998</v>
      </c>
      <c r="H1061" s="189"/>
    </row>
    <row r="1062" spans="1:8" ht="19.5">
      <c r="A1062" s="189"/>
      <c r="B1062" s="192"/>
      <c r="C1062" s="188" t="s">
        <v>350</v>
      </c>
      <c r="D1062" s="198">
        <v>0.2</v>
      </c>
      <c r="E1062" s="191" t="s">
        <v>201</v>
      </c>
      <c r="F1062" s="313">
        <v>12.92</v>
      </c>
      <c r="G1062" s="256">
        <f>D1062*F1062</f>
        <v>2.584</v>
      </c>
      <c r="H1062" s="189"/>
    </row>
    <row r="1063" spans="1:8" ht="20.25">
      <c r="A1063" s="200"/>
      <c r="B1063" s="201"/>
      <c r="C1063" s="202" t="s">
        <v>739</v>
      </c>
      <c r="D1063" s="203">
        <v>1</v>
      </c>
      <c r="E1063" s="204" t="s">
        <v>190</v>
      </c>
      <c r="F1063" s="205" t="s">
        <v>208</v>
      </c>
      <c r="G1063" s="206">
        <f>SUM(G1058:G1062)</f>
        <v>295.324</v>
      </c>
      <c r="H1063" s="207" t="s">
        <v>209</v>
      </c>
    </row>
    <row r="1064" spans="1:8" ht="20.25">
      <c r="A1064" s="208">
        <v>11.14</v>
      </c>
      <c r="B1064" s="284" t="s">
        <v>598</v>
      </c>
      <c r="C1064" s="193"/>
      <c r="D1064" s="283" t="s">
        <v>198</v>
      </c>
      <c r="E1064" s="211" t="s">
        <v>198</v>
      </c>
      <c r="F1064" s="252" t="s">
        <v>198</v>
      </c>
      <c r="G1064" s="273" t="s">
        <v>198</v>
      </c>
      <c r="H1064" s="234" t="s">
        <v>198</v>
      </c>
    </row>
    <row r="1065" spans="1:8" ht="20.25">
      <c r="A1065" s="189"/>
      <c r="B1065" s="187" t="s">
        <v>595</v>
      </c>
      <c r="C1065" s="188"/>
      <c r="D1065" s="198" t="s">
        <v>198</v>
      </c>
      <c r="E1065" s="191" t="s">
        <v>198</v>
      </c>
      <c r="F1065" s="195" t="s">
        <v>198</v>
      </c>
      <c r="G1065" s="256" t="s">
        <v>198</v>
      </c>
      <c r="H1065" s="228" t="s">
        <v>198</v>
      </c>
    </row>
    <row r="1066" spans="1:8" ht="19.5">
      <c r="A1066" s="189"/>
      <c r="B1066" s="192"/>
      <c r="C1066" s="188" t="s">
        <v>381</v>
      </c>
      <c r="D1066" s="254">
        <v>1</v>
      </c>
      <c r="E1066" s="191" t="s">
        <v>190</v>
      </c>
      <c r="F1066" s="195">
        <v>106.25</v>
      </c>
      <c r="G1066" s="256">
        <f>D1066*F1066</f>
        <v>106.25</v>
      </c>
      <c r="H1066" s="314" t="s">
        <v>374</v>
      </c>
    </row>
    <row r="1067" spans="1:8" ht="19.5">
      <c r="A1067" s="189"/>
      <c r="B1067" s="192"/>
      <c r="C1067" s="188" t="s">
        <v>596</v>
      </c>
      <c r="D1067" s="254">
        <v>0.48</v>
      </c>
      <c r="E1067" s="191" t="s">
        <v>348</v>
      </c>
      <c r="F1067" s="252">
        <v>830</v>
      </c>
      <c r="G1067" s="256">
        <f>D1067*F1067</f>
        <v>398.4</v>
      </c>
      <c r="H1067" s="189"/>
    </row>
    <row r="1068" spans="1:8" ht="19.5">
      <c r="A1068" s="189"/>
      <c r="B1068" s="192"/>
      <c r="C1068" s="188" t="s">
        <v>350</v>
      </c>
      <c r="D1068" s="198">
        <v>0.2</v>
      </c>
      <c r="E1068" s="191" t="s">
        <v>201</v>
      </c>
      <c r="F1068" s="313">
        <v>12.92</v>
      </c>
      <c r="G1068" s="256">
        <f>D1068*F1068</f>
        <v>2.584</v>
      </c>
      <c r="H1068" s="189"/>
    </row>
    <row r="1069" spans="1:8" ht="20.25">
      <c r="A1069" s="200"/>
      <c r="B1069" s="201"/>
      <c r="C1069" s="202" t="s">
        <v>740</v>
      </c>
      <c r="D1069" s="203">
        <v>1</v>
      </c>
      <c r="E1069" s="204" t="s">
        <v>190</v>
      </c>
      <c r="F1069" s="205" t="s">
        <v>208</v>
      </c>
      <c r="G1069" s="206">
        <f>SUM(G1064:G1068)</f>
        <v>507.234</v>
      </c>
      <c r="H1069" s="207" t="s">
        <v>209</v>
      </c>
    </row>
    <row r="1070" spans="1:8" ht="20.25">
      <c r="A1070" s="208">
        <v>11.15</v>
      </c>
      <c r="B1070" s="284" t="s">
        <v>599</v>
      </c>
      <c r="C1070" s="193"/>
      <c r="D1070" s="283" t="s">
        <v>198</v>
      </c>
      <c r="E1070" s="211" t="s">
        <v>198</v>
      </c>
      <c r="F1070" s="252" t="s">
        <v>198</v>
      </c>
      <c r="G1070" s="273" t="s">
        <v>198</v>
      </c>
      <c r="H1070" s="234" t="s">
        <v>198</v>
      </c>
    </row>
    <row r="1071" spans="1:8" ht="20.25">
      <c r="A1071" s="189"/>
      <c r="B1071" s="187" t="s">
        <v>592</v>
      </c>
      <c r="C1071" s="188"/>
      <c r="D1071" s="198" t="s">
        <v>198</v>
      </c>
      <c r="E1071" s="191" t="s">
        <v>198</v>
      </c>
      <c r="F1071" s="195" t="s">
        <v>198</v>
      </c>
      <c r="G1071" s="256" t="s">
        <v>198</v>
      </c>
      <c r="H1071" s="228" t="s">
        <v>198</v>
      </c>
    </row>
    <row r="1072" spans="1:8" ht="19.5">
      <c r="A1072" s="189"/>
      <c r="B1072" s="192"/>
      <c r="C1072" s="188" t="s">
        <v>396</v>
      </c>
      <c r="D1072" s="254">
        <v>1</v>
      </c>
      <c r="E1072" s="191" t="s">
        <v>190</v>
      </c>
      <c r="F1072" s="195">
        <v>116.67</v>
      </c>
      <c r="G1072" s="256">
        <f>D1072*F1072</f>
        <v>116.67</v>
      </c>
      <c r="H1072" s="314" t="s">
        <v>374</v>
      </c>
    </row>
    <row r="1073" spans="1:8" ht="19.5">
      <c r="A1073" s="189"/>
      <c r="B1073" s="192"/>
      <c r="C1073" s="188" t="s">
        <v>593</v>
      </c>
      <c r="D1073" s="254">
        <v>0.48</v>
      </c>
      <c r="E1073" s="191" t="s">
        <v>348</v>
      </c>
      <c r="F1073" s="252">
        <v>388</v>
      </c>
      <c r="G1073" s="256">
        <f>D1073*F1073</f>
        <v>186.23999999999998</v>
      </c>
      <c r="H1073" s="189"/>
    </row>
    <row r="1074" spans="1:8" ht="19.5">
      <c r="A1074" s="189"/>
      <c r="B1074" s="192"/>
      <c r="C1074" s="188" t="s">
        <v>350</v>
      </c>
      <c r="D1074" s="198">
        <v>0.2</v>
      </c>
      <c r="E1074" s="191" t="s">
        <v>201</v>
      </c>
      <c r="F1074" s="313">
        <v>12.92</v>
      </c>
      <c r="G1074" s="256">
        <f>D1074*F1074</f>
        <v>2.584</v>
      </c>
      <c r="H1074" s="189"/>
    </row>
    <row r="1075" spans="1:8" ht="20.25">
      <c r="A1075" s="200"/>
      <c r="B1075" s="201"/>
      <c r="C1075" s="202" t="s">
        <v>741</v>
      </c>
      <c r="D1075" s="203">
        <v>1</v>
      </c>
      <c r="E1075" s="204" t="s">
        <v>190</v>
      </c>
      <c r="F1075" s="205" t="s">
        <v>208</v>
      </c>
      <c r="G1075" s="206">
        <f>SUM(G1070:G1074)</f>
        <v>305.49399999999997</v>
      </c>
      <c r="H1075" s="207" t="s">
        <v>209</v>
      </c>
    </row>
    <row r="1076" spans="1:8" ht="20.25">
      <c r="A1076" s="208">
        <v>11.16</v>
      </c>
      <c r="B1076" s="284" t="s">
        <v>600</v>
      </c>
      <c r="C1076" s="193"/>
      <c r="D1076" s="283" t="s">
        <v>198</v>
      </c>
      <c r="E1076" s="211" t="s">
        <v>198</v>
      </c>
      <c r="F1076" s="252" t="s">
        <v>198</v>
      </c>
      <c r="G1076" s="273" t="s">
        <v>198</v>
      </c>
      <c r="H1076" s="234" t="s">
        <v>198</v>
      </c>
    </row>
    <row r="1077" spans="1:8" ht="20.25">
      <c r="A1077" s="189"/>
      <c r="B1077" s="187" t="s">
        <v>595</v>
      </c>
      <c r="C1077" s="188"/>
      <c r="D1077" s="198" t="s">
        <v>198</v>
      </c>
      <c r="E1077" s="191" t="s">
        <v>198</v>
      </c>
      <c r="F1077" s="195" t="s">
        <v>198</v>
      </c>
      <c r="G1077" s="256" t="s">
        <v>198</v>
      </c>
      <c r="H1077" s="228" t="s">
        <v>198</v>
      </c>
    </row>
    <row r="1078" spans="1:8" ht="19.5">
      <c r="A1078" s="189"/>
      <c r="B1078" s="192"/>
      <c r="C1078" s="188" t="s">
        <v>396</v>
      </c>
      <c r="D1078" s="254">
        <v>1</v>
      </c>
      <c r="E1078" s="191" t="s">
        <v>190</v>
      </c>
      <c r="F1078" s="195">
        <v>116.67</v>
      </c>
      <c r="G1078" s="256">
        <f>D1078*F1078</f>
        <v>116.67</v>
      </c>
      <c r="H1078" s="314" t="s">
        <v>374</v>
      </c>
    </row>
    <row r="1079" spans="1:8" ht="19.5">
      <c r="A1079" s="265"/>
      <c r="B1079" s="259"/>
      <c r="C1079" s="260" t="s">
        <v>596</v>
      </c>
      <c r="D1079" s="331">
        <v>0.48</v>
      </c>
      <c r="E1079" s="262" t="s">
        <v>348</v>
      </c>
      <c r="F1079" s="306">
        <v>830</v>
      </c>
      <c r="G1079" s="307">
        <f>D1079*F1079</f>
        <v>398.4</v>
      </c>
      <c r="H1079" s="265"/>
    </row>
    <row r="1080" spans="1:8" ht="19.5">
      <c r="A1080" s="189"/>
      <c r="B1080" s="192"/>
      <c r="C1080" s="188" t="s">
        <v>350</v>
      </c>
      <c r="D1080" s="198">
        <v>0.2</v>
      </c>
      <c r="E1080" s="191" t="s">
        <v>201</v>
      </c>
      <c r="F1080" s="255">
        <v>12.92</v>
      </c>
      <c r="G1080" s="256">
        <f>D1080*F1080</f>
        <v>2.584</v>
      </c>
      <c r="H1080" s="189"/>
    </row>
    <row r="1081" spans="1:8" ht="20.25">
      <c r="A1081" s="200"/>
      <c r="B1081" s="201"/>
      <c r="C1081" s="202" t="s">
        <v>742</v>
      </c>
      <c r="D1081" s="203">
        <v>1</v>
      </c>
      <c r="E1081" s="204" t="s">
        <v>190</v>
      </c>
      <c r="F1081" s="205" t="s">
        <v>208</v>
      </c>
      <c r="G1081" s="206">
        <f>SUM(G1076:G1080)</f>
        <v>517.6539999999999</v>
      </c>
      <c r="H1081" s="207" t="s">
        <v>209</v>
      </c>
    </row>
    <row r="1082" spans="1:8" ht="20.25">
      <c r="A1082" s="208">
        <v>11.17</v>
      </c>
      <c r="B1082" s="284" t="s">
        <v>601</v>
      </c>
      <c r="C1082" s="193"/>
      <c r="D1082" s="283" t="s">
        <v>198</v>
      </c>
      <c r="E1082" s="211" t="s">
        <v>198</v>
      </c>
      <c r="F1082" s="252" t="s">
        <v>198</v>
      </c>
      <c r="G1082" s="273" t="s">
        <v>198</v>
      </c>
      <c r="H1082" s="234" t="s">
        <v>198</v>
      </c>
    </row>
    <row r="1083" spans="1:8" ht="20.25">
      <c r="A1083" s="189"/>
      <c r="B1083" s="187" t="s">
        <v>592</v>
      </c>
      <c r="C1083" s="188"/>
      <c r="D1083" s="198" t="s">
        <v>198</v>
      </c>
      <c r="E1083" s="191" t="s">
        <v>198</v>
      </c>
      <c r="F1083" s="195" t="s">
        <v>198</v>
      </c>
      <c r="G1083" s="256" t="s">
        <v>198</v>
      </c>
      <c r="H1083" s="228" t="s">
        <v>198</v>
      </c>
    </row>
    <row r="1084" spans="1:8" ht="19.5">
      <c r="A1084" s="189"/>
      <c r="B1084" s="192"/>
      <c r="C1084" s="188" t="s">
        <v>400</v>
      </c>
      <c r="D1084" s="254">
        <v>1</v>
      </c>
      <c r="E1084" s="191" t="s">
        <v>190</v>
      </c>
      <c r="F1084" s="195">
        <v>183.75</v>
      </c>
      <c r="G1084" s="256">
        <f>D1084*F1084</f>
        <v>183.75</v>
      </c>
      <c r="H1084" s="314" t="s">
        <v>374</v>
      </c>
    </row>
    <row r="1085" spans="1:8" ht="19.5">
      <c r="A1085" s="189"/>
      <c r="B1085" s="192"/>
      <c r="C1085" s="188" t="s">
        <v>593</v>
      </c>
      <c r="D1085" s="254">
        <v>0.48</v>
      </c>
      <c r="E1085" s="191" t="s">
        <v>348</v>
      </c>
      <c r="F1085" s="252">
        <v>388</v>
      </c>
      <c r="G1085" s="256">
        <f>D1085*F1085</f>
        <v>186.23999999999998</v>
      </c>
      <c r="H1085" s="189"/>
    </row>
    <row r="1086" spans="1:8" ht="19.5">
      <c r="A1086" s="189"/>
      <c r="B1086" s="192"/>
      <c r="C1086" s="188" t="s">
        <v>350</v>
      </c>
      <c r="D1086" s="198">
        <v>0.2</v>
      </c>
      <c r="E1086" s="191" t="s">
        <v>201</v>
      </c>
      <c r="F1086" s="313">
        <v>12.92</v>
      </c>
      <c r="G1086" s="256">
        <f>D1086*F1086</f>
        <v>2.584</v>
      </c>
      <c r="H1086" s="189"/>
    </row>
    <row r="1087" spans="1:8" ht="20.25">
      <c r="A1087" s="200"/>
      <c r="B1087" s="201"/>
      <c r="C1087" s="202" t="s">
        <v>743</v>
      </c>
      <c r="D1087" s="203">
        <v>1</v>
      </c>
      <c r="E1087" s="204" t="s">
        <v>190</v>
      </c>
      <c r="F1087" s="205" t="s">
        <v>208</v>
      </c>
      <c r="G1087" s="206">
        <f>SUM(G1082:G1086)</f>
        <v>372.574</v>
      </c>
      <c r="H1087" s="207" t="s">
        <v>209</v>
      </c>
    </row>
    <row r="1088" spans="1:8" ht="20.25">
      <c r="A1088" s="296">
        <v>11.18</v>
      </c>
      <c r="B1088" s="284" t="s">
        <v>602</v>
      </c>
      <c r="C1088" s="193"/>
      <c r="D1088" s="283" t="s">
        <v>198</v>
      </c>
      <c r="E1088" s="211" t="s">
        <v>198</v>
      </c>
      <c r="F1088" s="252" t="s">
        <v>198</v>
      </c>
      <c r="G1088" s="273" t="s">
        <v>198</v>
      </c>
      <c r="H1088" s="234" t="s">
        <v>198</v>
      </c>
    </row>
    <row r="1089" spans="1:8" ht="20.25">
      <c r="A1089" s="189"/>
      <c r="B1089" s="187" t="s">
        <v>595</v>
      </c>
      <c r="C1089" s="188"/>
      <c r="D1089" s="198" t="s">
        <v>198</v>
      </c>
      <c r="E1089" s="191" t="s">
        <v>198</v>
      </c>
      <c r="F1089" s="195" t="s">
        <v>198</v>
      </c>
      <c r="G1089" s="256" t="s">
        <v>198</v>
      </c>
      <c r="H1089" s="228" t="s">
        <v>198</v>
      </c>
    </row>
    <row r="1090" spans="1:8" ht="19.5">
      <c r="A1090" s="189"/>
      <c r="B1090" s="192"/>
      <c r="C1090" s="188" t="s">
        <v>400</v>
      </c>
      <c r="D1090" s="254">
        <v>1</v>
      </c>
      <c r="E1090" s="191" t="s">
        <v>190</v>
      </c>
      <c r="F1090" s="195">
        <v>183.75</v>
      </c>
      <c r="G1090" s="256">
        <f>D1090*F1090</f>
        <v>183.75</v>
      </c>
      <c r="H1090" s="314" t="s">
        <v>374</v>
      </c>
    </row>
    <row r="1091" spans="1:8" ht="19.5">
      <c r="A1091" s="189"/>
      <c r="B1091" s="192"/>
      <c r="C1091" s="188" t="s">
        <v>596</v>
      </c>
      <c r="D1091" s="254">
        <v>0.48</v>
      </c>
      <c r="E1091" s="191" t="s">
        <v>348</v>
      </c>
      <c r="F1091" s="252">
        <v>830</v>
      </c>
      <c r="G1091" s="256">
        <f>D1091*F1091</f>
        <v>398.4</v>
      </c>
      <c r="H1091" s="189"/>
    </row>
    <row r="1092" spans="1:8" ht="19.5">
      <c r="A1092" s="189"/>
      <c r="B1092" s="192"/>
      <c r="C1092" s="188" t="s">
        <v>350</v>
      </c>
      <c r="D1092" s="198">
        <v>0.2</v>
      </c>
      <c r="E1092" s="191" t="s">
        <v>201</v>
      </c>
      <c r="F1092" s="313">
        <v>12.92</v>
      </c>
      <c r="G1092" s="256">
        <f>D1092*F1092</f>
        <v>2.584</v>
      </c>
      <c r="H1092" s="189"/>
    </row>
    <row r="1093" spans="1:8" ht="20.25">
      <c r="A1093" s="265"/>
      <c r="B1093" s="259"/>
      <c r="C1093" s="260" t="s">
        <v>744</v>
      </c>
      <c r="D1093" s="261">
        <v>1</v>
      </c>
      <c r="E1093" s="262" t="s">
        <v>190</v>
      </c>
      <c r="F1093" s="263" t="s">
        <v>208</v>
      </c>
      <c r="G1093" s="264">
        <f>SUM(G1088:G1092)</f>
        <v>584.7339999999999</v>
      </c>
      <c r="H1093" s="274" t="s">
        <v>209</v>
      </c>
    </row>
    <row r="1094" spans="1:8" ht="20.25">
      <c r="A1094" s="189"/>
      <c r="B1094" s="192"/>
      <c r="C1094" s="188"/>
      <c r="D1094" s="194"/>
      <c r="E1094" s="191"/>
      <c r="F1094" s="212"/>
      <c r="G1094" s="213"/>
      <c r="H1094" s="214"/>
    </row>
    <row r="1095" spans="1:8" ht="20.25">
      <c r="A1095" s="200"/>
      <c r="B1095" s="201"/>
      <c r="C1095" s="202"/>
      <c r="D1095" s="203"/>
      <c r="E1095" s="204"/>
      <c r="F1095" s="205"/>
      <c r="G1095" s="206"/>
      <c r="H1095" s="207"/>
    </row>
    <row r="1096" spans="1:8" ht="20.25">
      <c r="A1096" s="208">
        <v>11.19</v>
      </c>
      <c r="B1096" s="284" t="s">
        <v>603</v>
      </c>
      <c r="C1096" s="193"/>
      <c r="D1096" s="283" t="s">
        <v>198</v>
      </c>
      <c r="E1096" s="211" t="s">
        <v>198</v>
      </c>
      <c r="F1096" s="252" t="s">
        <v>198</v>
      </c>
      <c r="G1096" s="273" t="s">
        <v>198</v>
      </c>
      <c r="H1096" s="234" t="s">
        <v>198</v>
      </c>
    </row>
    <row r="1097" spans="1:8" ht="20.25">
      <c r="A1097" s="189"/>
      <c r="B1097" s="187" t="s">
        <v>604</v>
      </c>
      <c r="C1097" s="188"/>
      <c r="D1097" s="198" t="s">
        <v>198</v>
      </c>
      <c r="E1097" s="191" t="s">
        <v>198</v>
      </c>
      <c r="F1097" s="195" t="s">
        <v>198</v>
      </c>
      <c r="G1097" s="256" t="s">
        <v>198</v>
      </c>
      <c r="H1097" s="228" t="s">
        <v>198</v>
      </c>
    </row>
    <row r="1098" spans="1:8" ht="19.5">
      <c r="A1098" s="189"/>
      <c r="B1098" s="192"/>
      <c r="C1098" s="188" t="s">
        <v>605</v>
      </c>
      <c r="D1098" s="254">
        <v>1</v>
      </c>
      <c r="E1098" s="191" t="s">
        <v>190</v>
      </c>
      <c r="F1098" s="195">
        <v>65</v>
      </c>
      <c r="G1098" s="256">
        <f>D1098*F1098</f>
        <v>65</v>
      </c>
      <c r="H1098" s="314" t="s">
        <v>374</v>
      </c>
    </row>
    <row r="1099" spans="1:8" ht="19.5">
      <c r="A1099" s="189"/>
      <c r="B1099" s="192"/>
      <c r="C1099" s="188" t="s">
        <v>593</v>
      </c>
      <c r="D1099" s="254">
        <v>0.48</v>
      </c>
      <c r="E1099" s="191" t="s">
        <v>348</v>
      </c>
      <c r="F1099" s="252">
        <v>388</v>
      </c>
      <c r="G1099" s="256">
        <f>D1099*F1099</f>
        <v>186.23999999999998</v>
      </c>
      <c r="H1099" s="189"/>
    </row>
    <row r="1100" spans="1:8" ht="19.5">
      <c r="A1100" s="189"/>
      <c r="B1100" s="192"/>
      <c r="C1100" s="188" t="s">
        <v>350</v>
      </c>
      <c r="D1100" s="198">
        <v>0.2</v>
      </c>
      <c r="E1100" s="191" t="s">
        <v>201</v>
      </c>
      <c r="F1100" s="313">
        <v>12.92</v>
      </c>
      <c r="G1100" s="256">
        <f>D1100*F1100</f>
        <v>2.584</v>
      </c>
      <c r="H1100" s="189"/>
    </row>
    <row r="1101" spans="1:8" ht="20.25">
      <c r="A1101" s="200"/>
      <c r="B1101" s="201"/>
      <c r="C1101" s="202" t="s">
        <v>606</v>
      </c>
      <c r="D1101" s="203">
        <v>1</v>
      </c>
      <c r="E1101" s="204" t="s">
        <v>190</v>
      </c>
      <c r="F1101" s="205" t="s">
        <v>208</v>
      </c>
      <c r="G1101" s="206">
        <f>SUM(G1096:G1100)</f>
        <v>253.82399999999998</v>
      </c>
      <c r="H1101" s="200" t="s">
        <v>745</v>
      </c>
    </row>
    <row r="1102" spans="1:8" ht="20.25">
      <c r="A1102" s="296">
        <v>11.2</v>
      </c>
      <c r="B1102" s="284" t="s">
        <v>603</v>
      </c>
      <c r="C1102" s="193"/>
      <c r="D1102" s="283" t="s">
        <v>198</v>
      </c>
      <c r="E1102" s="211" t="s">
        <v>198</v>
      </c>
      <c r="F1102" s="252" t="s">
        <v>198</v>
      </c>
      <c r="G1102" s="273" t="s">
        <v>198</v>
      </c>
      <c r="H1102" s="234" t="s">
        <v>198</v>
      </c>
    </row>
    <row r="1103" spans="1:8" ht="20.25">
      <c r="A1103" s="189"/>
      <c r="B1103" s="187" t="s">
        <v>607</v>
      </c>
      <c r="C1103" s="188"/>
      <c r="D1103" s="198" t="s">
        <v>198</v>
      </c>
      <c r="E1103" s="191" t="s">
        <v>198</v>
      </c>
      <c r="F1103" s="195" t="s">
        <v>198</v>
      </c>
      <c r="G1103" s="256" t="s">
        <v>198</v>
      </c>
      <c r="H1103" s="228" t="s">
        <v>198</v>
      </c>
    </row>
    <row r="1104" spans="1:8" ht="19.5">
      <c r="A1104" s="189"/>
      <c r="B1104" s="192"/>
      <c r="C1104" s="188" t="s">
        <v>605</v>
      </c>
      <c r="D1104" s="254">
        <v>1</v>
      </c>
      <c r="E1104" s="191" t="s">
        <v>190</v>
      </c>
      <c r="F1104" s="195">
        <v>65</v>
      </c>
      <c r="G1104" s="256">
        <f>D1104*F1104</f>
        <v>65</v>
      </c>
      <c r="H1104" s="314" t="s">
        <v>374</v>
      </c>
    </row>
    <row r="1105" spans="1:8" ht="19.5">
      <c r="A1105" s="189"/>
      <c r="B1105" s="192"/>
      <c r="C1105" s="188" t="s">
        <v>596</v>
      </c>
      <c r="D1105" s="254">
        <v>0.48</v>
      </c>
      <c r="E1105" s="191" t="s">
        <v>348</v>
      </c>
      <c r="F1105" s="252">
        <v>830</v>
      </c>
      <c r="G1105" s="256">
        <f>D1105*F1105</f>
        <v>398.4</v>
      </c>
      <c r="H1105" s="189"/>
    </row>
    <row r="1106" spans="1:8" ht="19.5">
      <c r="A1106" s="189"/>
      <c r="B1106" s="192"/>
      <c r="C1106" s="188" t="s">
        <v>350</v>
      </c>
      <c r="D1106" s="198">
        <v>0.2</v>
      </c>
      <c r="E1106" s="191" t="s">
        <v>201</v>
      </c>
      <c r="F1106" s="313">
        <v>12.92</v>
      </c>
      <c r="G1106" s="256">
        <f>D1106*F1106</f>
        <v>2.584</v>
      </c>
      <c r="H1106" s="189"/>
    </row>
    <row r="1107" spans="1:8" ht="20.25">
      <c r="A1107" s="200"/>
      <c r="B1107" s="201"/>
      <c r="C1107" s="202" t="s">
        <v>606</v>
      </c>
      <c r="D1107" s="203">
        <v>1</v>
      </c>
      <c r="E1107" s="204" t="s">
        <v>190</v>
      </c>
      <c r="F1107" s="205" t="s">
        <v>208</v>
      </c>
      <c r="G1107" s="206">
        <f>SUM(G1102:G1106)</f>
        <v>465.984</v>
      </c>
      <c r="H1107" s="200" t="s">
        <v>746</v>
      </c>
    </row>
    <row r="1108" spans="1:8" ht="20.25" customHeight="1">
      <c r="A1108" s="208">
        <v>11.21</v>
      </c>
      <c r="B1108" s="284" t="s">
        <v>608</v>
      </c>
      <c r="C1108" s="193"/>
      <c r="D1108" s="283" t="s">
        <v>198</v>
      </c>
      <c r="E1108" s="211" t="s">
        <v>198</v>
      </c>
      <c r="F1108" s="252" t="s">
        <v>198</v>
      </c>
      <c r="G1108" s="273" t="s">
        <v>198</v>
      </c>
      <c r="H1108" s="234" t="s">
        <v>198</v>
      </c>
    </row>
    <row r="1109" spans="1:8" ht="20.25" customHeight="1">
      <c r="A1109" s="189"/>
      <c r="B1109" s="187" t="s">
        <v>604</v>
      </c>
      <c r="C1109" s="188"/>
      <c r="D1109" s="198" t="s">
        <v>198</v>
      </c>
      <c r="E1109" s="191" t="s">
        <v>198</v>
      </c>
      <c r="F1109" s="195" t="s">
        <v>198</v>
      </c>
      <c r="G1109" s="256" t="s">
        <v>198</v>
      </c>
      <c r="H1109" s="228" t="s">
        <v>198</v>
      </c>
    </row>
    <row r="1110" spans="1:8" ht="20.25" customHeight="1">
      <c r="A1110" s="189"/>
      <c r="B1110" s="192"/>
      <c r="C1110" s="188" t="s">
        <v>415</v>
      </c>
      <c r="D1110" s="254">
        <v>1</v>
      </c>
      <c r="E1110" s="191" t="s">
        <v>190</v>
      </c>
      <c r="F1110" s="195">
        <v>94.17</v>
      </c>
      <c r="G1110" s="256">
        <f>D1110*F1110</f>
        <v>94.17</v>
      </c>
      <c r="H1110" s="314" t="s">
        <v>374</v>
      </c>
    </row>
    <row r="1111" spans="1:8" ht="20.25" customHeight="1">
      <c r="A1111" s="189"/>
      <c r="B1111" s="192"/>
      <c r="C1111" s="188" t="s">
        <v>593</v>
      </c>
      <c r="D1111" s="254">
        <v>0.48</v>
      </c>
      <c r="E1111" s="191" t="s">
        <v>348</v>
      </c>
      <c r="F1111" s="252">
        <v>388</v>
      </c>
      <c r="G1111" s="256">
        <f>D1111*F1111</f>
        <v>186.23999999999998</v>
      </c>
      <c r="H1111" s="189"/>
    </row>
    <row r="1112" spans="1:8" ht="20.25" customHeight="1">
      <c r="A1112" s="189"/>
      <c r="B1112" s="192"/>
      <c r="C1112" s="188" t="s">
        <v>350</v>
      </c>
      <c r="D1112" s="198">
        <v>0.2</v>
      </c>
      <c r="E1112" s="191" t="s">
        <v>201</v>
      </c>
      <c r="F1112" s="313">
        <v>12.92</v>
      </c>
      <c r="G1112" s="256">
        <f>D1112*F1112</f>
        <v>2.584</v>
      </c>
      <c r="H1112" s="189"/>
    </row>
    <row r="1113" spans="1:8" ht="20.25" customHeight="1">
      <c r="A1113" s="200"/>
      <c r="B1113" s="201"/>
      <c r="C1113" s="202" t="s">
        <v>609</v>
      </c>
      <c r="D1113" s="203">
        <v>1</v>
      </c>
      <c r="E1113" s="204" t="s">
        <v>190</v>
      </c>
      <c r="F1113" s="205" t="s">
        <v>208</v>
      </c>
      <c r="G1113" s="206">
        <f>SUM(G1108:G1112)</f>
        <v>282.99399999999997</v>
      </c>
      <c r="H1113" s="200" t="s">
        <v>745</v>
      </c>
    </row>
    <row r="1114" spans="1:8" ht="20.25" customHeight="1">
      <c r="A1114" s="296">
        <v>11.22</v>
      </c>
      <c r="B1114" s="284" t="s">
        <v>608</v>
      </c>
      <c r="C1114" s="193"/>
      <c r="D1114" s="283" t="s">
        <v>198</v>
      </c>
      <c r="E1114" s="211" t="s">
        <v>198</v>
      </c>
      <c r="F1114" s="252" t="s">
        <v>198</v>
      </c>
      <c r="G1114" s="273" t="s">
        <v>198</v>
      </c>
      <c r="H1114" s="234" t="s">
        <v>198</v>
      </c>
    </row>
    <row r="1115" spans="1:8" ht="20.25" customHeight="1">
      <c r="A1115" s="189"/>
      <c r="B1115" s="187" t="s">
        <v>607</v>
      </c>
      <c r="C1115" s="188"/>
      <c r="D1115" s="198" t="s">
        <v>198</v>
      </c>
      <c r="E1115" s="191" t="s">
        <v>198</v>
      </c>
      <c r="F1115" s="195" t="s">
        <v>198</v>
      </c>
      <c r="G1115" s="256" t="s">
        <v>198</v>
      </c>
      <c r="H1115" s="228" t="s">
        <v>198</v>
      </c>
    </row>
    <row r="1116" spans="1:8" ht="20.25" customHeight="1">
      <c r="A1116" s="189"/>
      <c r="B1116" s="192"/>
      <c r="C1116" s="188" t="s">
        <v>415</v>
      </c>
      <c r="D1116" s="254">
        <v>1</v>
      </c>
      <c r="E1116" s="191" t="s">
        <v>190</v>
      </c>
      <c r="F1116" s="195">
        <v>94.17</v>
      </c>
      <c r="G1116" s="256">
        <f>D1116*F1116</f>
        <v>94.17</v>
      </c>
      <c r="H1116" s="314" t="s">
        <v>374</v>
      </c>
    </row>
    <row r="1117" spans="1:8" ht="20.25" customHeight="1">
      <c r="A1117" s="265"/>
      <c r="B1117" s="259"/>
      <c r="C1117" s="260" t="s">
        <v>596</v>
      </c>
      <c r="D1117" s="331">
        <v>0.48</v>
      </c>
      <c r="E1117" s="262" t="s">
        <v>348</v>
      </c>
      <c r="F1117" s="306">
        <v>830</v>
      </c>
      <c r="G1117" s="307">
        <f>D1117*F1117</f>
        <v>398.4</v>
      </c>
      <c r="H1117" s="265"/>
    </row>
    <row r="1118" spans="1:8" ht="20.25" customHeight="1">
      <c r="A1118" s="189"/>
      <c r="B1118" s="192"/>
      <c r="C1118" s="188" t="s">
        <v>350</v>
      </c>
      <c r="D1118" s="198">
        <v>0.2</v>
      </c>
      <c r="E1118" s="191" t="s">
        <v>201</v>
      </c>
      <c r="F1118" s="255">
        <v>12.92</v>
      </c>
      <c r="G1118" s="256">
        <f>D1118*F1118</f>
        <v>2.584</v>
      </c>
      <c r="H1118" s="189"/>
    </row>
    <row r="1119" spans="1:8" ht="20.25" customHeight="1">
      <c r="A1119" s="200"/>
      <c r="B1119" s="201"/>
      <c r="C1119" s="202" t="s">
        <v>609</v>
      </c>
      <c r="D1119" s="203">
        <v>1</v>
      </c>
      <c r="E1119" s="204" t="s">
        <v>190</v>
      </c>
      <c r="F1119" s="205" t="s">
        <v>208</v>
      </c>
      <c r="G1119" s="206">
        <f>SUM(G1114:G1118)</f>
        <v>495.154</v>
      </c>
      <c r="H1119" s="200" t="s">
        <v>746</v>
      </c>
    </row>
    <row r="1120" spans="1:8" ht="20.25" customHeight="1">
      <c r="A1120" s="296">
        <v>11.23</v>
      </c>
      <c r="B1120" s="284" t="s">
        <v>610</v>
      </c>
      <c r="C1120" s="193"/>
      <c r="D1120" s="283" t="s">
        <v>198</v>
      </c>
      <c r="E1120" s="211" t="s">
        <v>198</v>
      </c>
      <c r="F1120" s="252" t="s">
        <v>198</v>
      </c>
      <c r="G1120" s="273" t="s">
        <v>198</v>
      </c>
      <c r="H1120" s="234" t="s">
        <v>198</v>
      </c>
    </row>
    <row r="1121" spans="1:8" ht="20.25" customHeight="1">
      <c r="A1121" s="189"/>
      <c r="B1121" s="187" t="s">
        <v>611</v>
      </c>
      <c r="C1121" s="188"/>
      <c r="D1121" s="198" t="s">
        <v>198</v>
      </c>
      <c r="E1121" s="191" t="s">
        <v>198</v>
      </c>
      <c r="F1121" s="195" t="s">
        <v>198</v>
      </c>
      <c r="G1121" s="256" t="s">
        <v>198</v>
      </c>
      <c r="H1121" s="228" t="s">
        <v>198</v>
      </c>
    </row>
    <row r="1122" spans="1:8" ht="20.25" customHeight="1">
      <c r="A1122" s="189"/>
      <c r="B1122" s="192"/>
      <c r="C1122" s="188" t="s">
        <v>426</v>
      </c>
      <c r="D1122" s="254">
        <v>1</v>
      </c>
      <c r="E1122" s="191" t="s">
        <v>190</v>
      </c>
      <c r="F1122" s="195">
        <v>79.33</v>
      </c>
      <c r="G1122" s="256">
        <f>D1122*F1122</f>
        <v>79.33</v>
      </c>
      <c r="H1122" s="314" t="s">
        <v>374</v>
      </c>
    </row>
    <row r="1123" spans="1:8" ht="20.25" customHeight="1">
      <c r="A1123" s="189"/>
      <c r="B1123" s="192"/>
      <c r="C1123" s="188" t="s">
        <v>593</v>
      </c>
      <c r="D1123" s="254">
        <v>0.48</v>
      </c>
      <c r="E1123" s="191" t="s">
        <v>348</v>
      </c>
      <c r="F1123" s="252">
        <v>388</v>
      </c>
      <c r="G1123" s="256">
        <f>D1123*F1123</f>
        <v>186.23999999999998</v>
      </c>
      <c r="H1123" s="189"/>
    </row>
    <row r="1124" spans="1:8" ht="20.25" customHeight="1">
      <c r="A1124" s="189"/>
      <c r="B1124" s="192"/>
      <c r="C1124" s="188" t="s">
        <v>350</v>
      </c>
      <c r="D1124" s="198">
        <v>0.2</v>
      </c>
      <c r="E1124" s="191" t="s">
        <v>201</v>
      </c>
      <c r="F1124" s="313">
        <v>12.92</v>
      </c>
      <c r="G1124" s="256">
        <f>D1124*F1124</f>
        <v>2.584</v>
      </c>
      <c r="H1124" s="189"/>
    </row>
    <row r="1125" spans="1:8" ht="20.25" customHeight="1">
      <c r="A1125" s="265"/>
      <c r="B1125" s="259"/>
      <c r="C1125" s="188" t="s">
        <v>427</v>
      </c>
      <c r="D1125" s="198">
        <v>1</v>
      </c>
      <c r="E1125" s="191" t="s">
        <v>190</v>
      </c>
      <c r="F1125" s="313">
        <v>5</v>
      </c>
      <c r="G1125" s="256">
        <f>D1125*F1125</f>
        <v>5</v>
      </c>
      <c r="H1125" s="265"/>
    </row>
    <row r="1126" spans="1:8" ht="20.25" customHeight="1">
      <c r="A1126" s="200"/>
      <c r="B1126" s="201"/>
      <c r="C1126" s="202" t="s">
        <v>612</v>
      </c>
      <c r="D1126" s="203">
        <v>1</v>
      </c>
      <c r="E1126" s="204" t="s">
        <v>190</v>
      </c>
      <c r="F1126" s="205" t="s">
        <v>208</v>
      </c>
      <c r="G1126" s="206">
        <f>SUM(G1120:G1125)</f>
        <v>273.154</v>
      </c>
      <c r="H1126" s="200" t="s">
        <v>745</v>
      </c>
    </row>
    <row r="1127" spans="1:8" ht="20.25" customHeight="1">
      <c r="A1127" s="296">
        <v>11.24</v>
      </c>
      <c r="B1127" s="284" t="s">
        <v>610</v>
      </c>
      <c r="C1127" s="193"/>
      <c r="D1127" s="283" t="s">
        <v>198</v>
      </c>
      <c r="E1127" s="211" t="s">
        <v>198</v>
      </c>
      <c r="F1127" s="252" t="s">
        <v>198</v>
      </c>
      <c r="G1127" s="273" t="s">
        <v>198</v>
      </c>
      <c r="H1127" s="234" t="s">
        <v>198</v>
      </c>
    </row>
    <row r="1128" spans="1:8" ht="20.25" customHeight="1">
      <c r="A1128" s="189"/>
      <c r="B1128" s="187" t="s">
        <v>613</v>
      </c>
      <c r="C1128" s="188"/>
      <c r="D1128" s="198" t="s">
        <v>198</v>
      </c>
      <c r="E1128" s="191" t="s">
        <v>198</v>
      </c>
      <c r="F1128" s="195" t="s">
        <v>198</v>
      </c>
      <c r="G1128" s="256" t="s">
        <v>198</v>
      </c>
      <c r="H1128" s="228" t="s">
        <v>198</v>
      </c>
    </row>
    <row r="1129" spans="1:8" ht="20.25" customHeight="1">
      <c r="A1129" s="189"/>
      <c r="B1129" s="192"/>
      <c r="C1129" s="188" t="s">
        <v>426</v>
      </c>
      <c r="D1129" s="254">
        <v>1</v>
      </c>
      <c r="E1129" s="191" t="s">
        <v>190</v>
      </c>
      <c r="F1129" s="195">
        <v>79.33</v>
      </c>
      <c r="G1129" s="256">
        <f>D1129*F1129</f>
        <v>79.33</v>
      </c>
      <c r="H1129" s="314" t="s">
        <v>374</v>
      </c>
    </row>
    <row r="1130" spans="1:8" ht="20.25" customHeight="1">
      <c r="A1130" s="189"/>
      <c r="B1130" s="192"/>
      <c r="C1130" s="188" t="s">
        <v>596</v>
      </c>
      <c r="D1130" s="254">
        <v>0.48</v>
      </c>
      <c r="E1130" s="191" t="s">
        <v>348</v>
      </c>
      <c r="F1130" s="252">
        <v>830</v>
      </c>
      <c r="G1130" s="256">
        <f>D1130*F1130</f>
        <v>398.4</v>
      </c>
      <c r="H1130" s="189"/>
    </row>
    <row r="1131" spans="1:8" ht="20.25" customHeight="1">
      <c r="A1131" s="189"/>
      <c r="B1131" s="192"/>
      <c r="C1131" s="188" t="s">
        <v>350</v>
      </c>
      <c r="D1131" s="198">
        <v>0.2</v>
      </c>
      <c r="E1131" s="191" t="s">
        <v>201</v>
      </c>
      <c r="F1131" s="313">
        <v>12.92</v>
      </c>
      <c r="G1131" s="256">
        <f>D1131*F1131</f>
        <v>2.584</v>
      </c>
      <c r="H1131" s="189"/>
    </row>
    <row r="1132" spans="1:8" ht="20.25" customHeight="1">
      <c r="A1132" s="265"/>
      <c r="B1132" s="259"/>
      <c r="C1132" s="188" t="s">
        <v>427</v>
      </c>
      <c r="D1132" s="198">
        <v>1</v>
      </c>
      <c r="E1132" s="191" t="s">
        <v>190</v>
      </c>
      <c r="F1132" s="313">
        <v>5</v>
      </c>
      <c r="G1132" s="256">
        <f>D1132*F1132</f>
        <v>5</v>
      </c>
      <c r="H1132" s="265"/>
    </row>
    <row r="1133" spans="1:8" ht="20.25" customHeight="1">
      <c r="A1133" s="200"/>
      <c r="B1133" s="201"/>
      <c r="C1133" s="202" t="s">
        <v>612</v>
      </c>
      <c r="D1133" s="203">
        <v>1</v>
      </c>
      <c r="E1133" s="204" t="s">
        <v>190</v>
      </c>
      <c r="F1133" s="205" t="s">
        <v>208</v>
      </c>
      <c r="G1133" s="206">
        <f>SUM(G1127:G1132)</f>
        <v>485.31399999999996</v>
      </c>
      <c r="H1133" s="200" t="s">
        <v>746</v>
      </c>
    </row>
    <row r="1134" spans="1:8" ht="20.25" customHeight="1">
      <c r="A1134" s="296">
        <v>11.25</v>
      </c>
      <c r="B1134" s="284" t="s">
        <v>614</v>
      </c>
      <c r="C1134" s="193"/>
      <c r="D1134" s="283" t="s">
        <v>198</v>
      </c>
      <c r="E1134" s="211" t="s">
        <v>198</v>
      </c>
      <c r="F1134" s="252" t="s">
        <v>198</v>
      </c>
      <c r="G1134" s="273" t="s">
        <v>198</v>
      </c>
      <c r="H1134" s="234" t="s">
        <v>198</v>
      </c>
    </row>
    <row r="1135" spans="1:8" ht="20.25" customHeight="1">
      <c r="A1135" s="189"/>
      <c r="B1135" s="187" t="s">
        <v>611</v>
      </c>
      <c r="C1135" s="188"/>
      <c r="D1135" s="198" t="s">
        <v>198</v>
      </c>
      <c r="E1135" s="191" t="s">
        <v>198</v>
      </c>
      <c r="F1135" s="195" t="s">
        <v>198</v>
      </c>
      <c r="G1135" s="256" t="s">
        <v>198</v>
      </c>
      <c r="H1135" s="228" t="s">
        <v>198</v>
      </c>
    </row>
    <row r="1136" spans="1:8" ht="20.25" customHeight="1">
      <c r="A1136" s="189"/>
      <c r="B1136" s="192"/>
      <c r="C1136" s="188" t="s">
        <v>430</v>
      </c>
      <c r="D1136" s="254">
        <v>1</v>
      </c>
      <c r="E1136" s="191" t="s">
        <v>190</v>
      </c>
      <c r="F1136" s="195">
        <v>83.33</v>
      </c>
      <c r="G1136" s="256">
        <f>D1136*F1136</f>
        <v>83.33</v>
      </c>
      <c r="H1136" s="314" t="s">
        <v>374</v>
      </c>
    </row>
    <row r="1137" spans="1:8" ht="20.25" customHeight="1">
      <c r="A1137" s="200"/>
      <c r="B1137" s="201"/>
      <c r="C1137" s="202" t="s">
        <v>593</v>
      </c>
      <c r="D1137" s="247">
        <v>0.48</v>
      </c>
      <c r="E1137" s="204" t="s">
        <v>348</v>
      </c>
      <c r="F1137" s="248">
        <v>388</v>
      </c>
      <c r="G1137" s="282">
        <f>D1137*F1137</f>
        <v>186.23999999999998</v>
      </c>
      <c r="H1137" s="200"/>
    </row>
    <row r="1138" spans="1:8" ht="20.25" customHeight="1">
      <c r="A1138" s="209"/>
      <c r="B1138" s="250"/>
      <c r="C1138" s="193" t="s">
        <v>350</v>
      </c>
      <c r="D1138" s="283">
        <v>0.2</v>
      </c>
      <c r="E1138" s="211" t="s">
        <v>201</v>
      </c>
      <c r="F1138" s="313">
        <v>12.92</v>
      </c>
      <c r="G1138" s="273">
        <f>D1138*F1138</f>
        <v>2.584</v>
      </c>
      <c r="H1138" s="209"/>
    </row>
    <row r="1139" spans="1:8" ht="20.25" customHeight="1">
      <c r="A1139" s="265"/>
      <c r="B1139" s="259"/>
      <c r="C1139" s="188" t="s">
        <v>427</v>
      </c>
      <c r="D1139" s="198">
        <v>1</v>
      </c>
      <c r="E1139" s="191" t="s">
        <v>190</v>
      </c>
      <c r="F1139" s="313">
        <v>5</v>
      </c>
      <c r="G1139" s="256">
        <f>D1139*F1139</f>
        <v>5</v>
      </c>
      <c r="H1139" s="265"/>
    </row>
    <row r="1140" spans="1:8" ht="20.25" customHeight="1">
      <c r="A1140" s="200"/>
      <c r="B1140" s="201"/>
      <c r="C1140" s="202" t="s">
        <v>615</v>
      </c>
      <c r="D1140" s="203">
        <v>1</v>
      </c>
      <c r="E1140" s="204" t="s">
        <v>190</v>
      </c>
      <c r="F1140" s="205" t="s">
        <v>208</v>
      </c>
      <c r="G1140" s="206">
        <f>SUM(G1134:G1139)</f>
        <v>277.154</v>
      </c>
      <c r="H1140" s="200" t="s">
        <v>745</v>
      </c>
    </row>
    <row r="1141" spans="1:8" ht="19.5" customHeight="1">
      <c r="A1141" s="296">
        <v>11.26</v>
      </c>
      <c r="B1141" s="284" t="s">
        <v>614</v>
      </c>
      <c r="C1141" s="193"/>
      <c r="D1141" s="283" t="s">
        <v>198</v>
      </c>
      <c r="E1141" s="211" t="s">
        <v>198</v>
      </c>
      <c r="F1141" s="252" t="s">
        <v>198</v>
      </c>
      <c r="G1141" s="273" t="s">
        <v>198</v>
      </c>
      <c r="H1141" s="234" t="s">
        <v>198</v>
      </c>
    </row>
    <row r="1142" spans="1:8" ht="19.5" customHeight="1">
      <c r="A1142" s="189"/>
      <c r="B1142" s="187" t="s">
        <v>613</v>
      </c>
      <c r="C1142" s="188"/>
      <c r="D1142" s="198" t="s">
        <v>198</v>
      </c>
      <c r="E1142" s="191" t="s">
        <v>198</v>
      </c>
      <c r="F1142" s="195" t="s">
        <v>198</v>
      </c>
      <c r="G1142" s="256" t="s">
        <v>198</v>
      </c>
      <c r="H1142" s="228" t="s">
        <v>198</v>
      </c>
    </row>
    <row r="1143" spans="1:8" ht="19.5" customHeight="1">
      <c r="A1143" s="189"/>
      <c r="B1143" s="192"/>
      <c r="C1143" s="188" t="s">
        <v>616</v>
      </c>
      <c r="D1143" s="254">
        <v>1</v>
      </c>
      <c r="E1143" s="191" t="s">
        <v>190</v>
      </c>
      <c r="F1143" s="195">
        <v>83.33</v>
      </c>
      <c r="G1143" s="256">
        <f>D1143*F1143</f>
        <v>83.33</v>
      </c>
      <c r="H1143" s="314" t="s">
        <v>374</v>
      </c>
    </row>
    <row r="1144" spans="1:8" ht="19.5" customHeight="1">
      <c r="A1144" s="189"/>
      <c r="B1144" s="192"/>
      <c r="C1144" s="188" t="s">
        <v>596</v>
      </c>
      <c r="D1144" s="254">
        <v>0.48</v>
      </c>
      <c r="E1144" s="191" t="s">
        <v>348</v>
      </c>
      <c r="F1144" s="252">
        <v>830</v>
      </c>
      <c r="G1144" s="256">
        <f>D1144*F1144</f>
        <v>398.4</v>
      </c>
      <c r="H1144" s="189"/>
    </row>
    <row r="1145" spans="1:8" ht="19.5" customHeight="1">
      <c r="A1145" s="189"/>
      <c r="B1145" s="192"/>
      <c r="C1145" s="188" t="s">
        <v>350</v>
      </c>
      <c r="D1145" s="198">
        <v>0.2</v>
      </c>
      <c r="E1145" s="191" t="s">
        <v>201</v>
      </c>
      <c r="F1145" s="313">
        <v>12.92</v>
      </c>
      <c r="G1145" s="256">
        <f>D1145*F1145</f>
        <v>2.584</v>
      </c>
      <c r="H1145" s="189"/>
    </row>
    <row r="1146" spans="1:8" ht="19.5" customHeight="1">
      <c r="A1146" s="265"/>
      <c r="B1146" s="259"/>
      <c r="C1146" s="188" t="s">
        <v>427</v>
      </c>
      <c r="D1146" s="198">
        <v>1</v>
      </c>
      <c r="E1146" s="191" t="s">
        <v>190</v>
      </c>
      <c r="F1146" s="313">
        <v>5</v>
      </c>
      <c r="G1146" s="256">
        <f>D1146*F1146</f>
        <v>5</v>
      </c>
      <c r="H1146" s="265"/>
    </row>
    <row r="1147" spans="1:8" ht="19.5" customHeight="1">
      <c r="A1147" s="200"/>
      <c r="B1147" s="201"/>
      <c r="C1147" s="202" t="s">
        <v>615</v>
      </c>
      <c r="D1147" s="203">
        <v>1</v>
      </c>
      <c r="E1147" s="204" t="s">
        <v>190</v>
      </c>
      <c r="F1147" s="205" t="s">
        <v>208</v>
      </c>
      <c r="G1147" s="206">
        <f>SUM(G1141:G1146)</f>
        <v>489.31399999999996</v>
      </c>
      <c r="H1147" s="200" t="s">
        <v>746</v>
      </c>
    </row>
    <row r="1148" spans="1:8" ht="19.5" customHeight="1">
      <c r="A1148" s="296">
        <v>11.27</v>
      </c>
      <c r="B1148" s="284" t="s">
        <v>610</v>
      </c>
      <c r="C1148" s="193"/>
      <c r="D1148" s="283" t="s">
        <v>198</v>
      </c>
      <c r="E1148" s="211" t="s">
        <v>198</v>
      </c>
      <c r="F1148" s="252" t="s">
        <v>198</v>
      </c>
      <c r="G1148" s="273" t="s">
        <v>198</v>
      </c>
      <c r="H1148" s="234" t="s">
        <v>198</v>
      </c>
    </row>
    <row r="1149" spans="1:8" ht="19.5" customHeight="1">
      <c r="A1149" s="189"/>
      <c r="B1149" s="187" t="s">
        <v>617</v>
      </c>
      <c r="C1149" s="188"/>
      <c r="D1149" s="198" t="s">
        <v>198</v>
      </c>
      <c r="E1149" s="191" t="s">
        <v>198</v>
      </c>
      <c r="F1149" s="195" t="s">
        <v>198</v>
      </c>
      <c r="G1149" s="256" t="s">
        <v>198</v>
      </c>
      <c r="H1149" s="228" t="s">
        <v>198</v>
      </c>
    </row>
    <row r="1150" spans="1:8" ht="19.5" customHeight="1">
      <c r="A1150" s="189"/>
      <c r="B1150" s="192"/>
      <c r="C1150" s="188" t="s">
        <v>618</v>
      </c>
      <c r="D1150" s="254">
        <v>1</v>
      </c>
      <c r="E1150" s="191" t="s">
        <v>190</v>
      </c>
      <c r="F1150" s="195">
        <v>102.33</v>
      </c>
      <c r="G1150" s="256">
        <f>D1150*F1150</f>
        <v>102.33</v>
      </c>
      <c r="H1150" s="314" t="s">
        <v>374</v>
      </c>
    </row>
    <row r="1151" spans="1:8" ht="19.5" customHeight="1">
      <c r="A1151" s="189"/>
      <c r="B1151" s="192"/>
      <c r="C1151" s="188" t="s">
        <v>593</v>
      </c>
      <c r="D1151" s="254">
        <v>0.48</v>
      </c>
      <c r="E1151" s="191" t="s">
        <v>348</v>
      </c>
      <c r="F1151" s="252">
        <v>388</v>
      </c>
      <c r="G1151" s="256">
        <f>D1151*F1151</f>
        <v>186.23999999999998</v>
      </c>
      <c r="H1151" s="189"/>
    </row>
    <row r="1152" spans="1:8" ht="19.5" customHeight="1">
      <c r="A1152" s="189"/>
      <c r="B1152" s="192"/>
      <c r="C1152" s="188" t="s">
        <v>350</v>
      </c>
      <c r="D1152" s="198">
        <v>0.2</v>
      </c>
      <c r="E1152" s="191" t="s">
        <v>201</v>
      </c>
      <c r="F1152" s="313">
        <v>12.92</v>
      </c>
      <c r="G1152" s="256">
        <f>D1152*F1152</f>
        <v>2.584</v>
      </c>
      <c r="H1152" s="189"/>
    </row>
    <row r="1153" spans="1:8" ht="19.5" customHeight="1">
      <c r="A1153" s="265"/>
      <c r="B1153" s="259"/>
      <c r="C1153" s="188" t="s">
        <v>427</v>
      </c>
      <c r="D1153" s="198">
        <v>1</v>
      </c>
      <c r="E1153" s="191" t="s">
        <v>190</v>
      </c>
      <c r="F1153" s="313">
        <v>5</v>
      </c>
      <c r="G1153" s="256">
        <f>D1153*F1153</f>
        <v>5</v>
      </c>
      <c r="H1153" s="265"/>
    </row>
    <row r="1154" spans="1:8" ht="19.5" customHeight="1">
      <c r="A1154" s="200"/>
      <c r="B1154" s="201"/>
      <c r="C1154" s="202" t="s">
        <v>747</v>
      </c>
      <c r="D1154" s="203">
        <v>1</v>
      </c>
      <c r="E1154" s="204" t="s">
        <v>190</v>
      </c>
      <c r="F1154" s="205" t="s">
        <v>208</v>
      </c>
      <c r="G1154" s="206">
        <f>SUM(G1148:G1153)</f>
        <v>296.154</v>
      </c>
      <c r="H1154" s="200" t="s">
        <v>745</v>
      </c>
    </row>
    <row r="1155" spans="1:8" ht="19.5" customHeight="1">
      <c r="A1155" s="296">
        <v>11.28</v>
      </c>
      <c r="B1155" s="284" t="s">
        <v>610</v>
      </c>
      <c r="C1155" s="193"/>
      <c r="D1155" s="283" t="s">
        <v>198</v>
      </c>
      <c r="E1155" s="211" t="s">
        <v>198</v>
      </c>
      <c r="F1155" s="252" t="s">
        <v>198</v>
      </c>
      <c r="G1155" s="273" t="s">
        <v>198</v>
      </c>
      <c r="H1155" s="234" t="s">
        <v>198</v>
      </c>
    </row>
    <row r="1156" spans="1:8" ht="19.5" customHeight="1">
      <c r="A1156" s="189"/>
      <c r="B1156" s="187" t="s">
        <v>619</v>
      </c>
      <c r="C1156" s="188"/>
      <c r="D1156" s="198" t="s">
        <v>198</v>
      </c>
      <c r="E1156" s="191" t="s">
        <v>198</v>
      </c>
      <c r="F1156" s="195" t="s">
        <v>198</v>
      </c>
      <c r="G1156" s="256" t="s">
        <v>198</v>
      </c>
      <c r="H1156" s="228" t="s">
        <v>198</v>
      </c>
    </row>
    <row r="1157" spans="1:8" ht="19.5" customHeight="1">
      <c r="A1157" s="265"/>
      <c r="B1157" s="259"/>
      <c r="C1157" s="260" t="s">
        <v>618</v>
      </c>
      <c r="D1157" s="331">
        <v>1</v>
      </c>
      <c r="E1157" s="262" t="s">
        <v>190</v>
      </c>
      <c r="F1157" s="306">
        <v>102.33</v>
      </c>
      <c r="G1157" s="307">
        <f>D1157*F1157</f>
        <v>102.33</v>
      </c>
      <c r="H1157" s="334" t="s">
        <v>374</v>
      </c>
    </row>
    <row r="1158" spans="1:8" ht="19.5" customHeight="1">
      <c r="A1158" s="189"/>
      <c r="B1158" s="192"/>
      <c r="C1158" s="188" t="s">
        <v>596</v>
      </c>
      <c r="D1158" s="254">
        <v>0.48</v>
      </c>
      <c r="E1158" s="191" t="s">
        <v>348</v>
      </c>
      <c r="F1158" s="195">
        <v>830</v>
      </c>
      <c r="G1158" s="256">
        <f>D1158*F1158</f>
        <v>398.4</v>
      </c>
      <c r="H1158" s="189"/>
    </row>
    <row r="1159" spans="1:8" ht="19.5" customHeight="1">
      <c r="A1159" s="189"/>
      <c r="B1159" s="192"/>
      <c r="C1159" s="188" t="s">
        <v>350</v>
      </c>
      <c r="D1159" s="198">
        <v>0.2</v>
      </c>
      <c r="E1159" s="191" t="s">
        <v>201</v>
      </c>
      <c r="F1159" s="313">
        <v>12.92</v>
      </c>
      <c r="G1159" s="256">
        <f>D1159*F1159</f>
        <v>2.584</v>
      </c>
      <c r="H1159" s="189"/>
    </row>
    <row r="1160" spans="1:8" ht="19.5" customHeight="1">
      <c r="A1160" s="265"/>
      <c r="B1160" s="259"/>
      <c r="C1160" s="188" t="s">
        <v>427</v>
      </c>
      <c r="D1160" s="198">
        <v>1</v>
      </c>
      <c r="E1160" s="191" t="s">
        <v>190</v>
      </c>
      <c r="F1160" s="313">
        <v>5</v>
      </c>
      <c r="G1160" s="256">
        <f>D1160*F1160</f>
        <v>5</v>
      </c>
      <c r="H1160" s="265"/>
    </row>
    <row r="1161" spans="1:8" ht="19.5" customHeight="1">
      <c r="A1161" s="200"/>
      <c r="B1161" s="201"/>
      <c r="C1161" s="202" t="s">
        <v>747</v>
      </c>
      <c r="D1161" s="203">
        <v>1</v>
      </c>
      <c r="E1161" s="204" t="s">
        <v>190</v>
      </c>
      <c r="F1161" s="205" t="s">
        <v>208</v>
      </c>
      <c r="G1161" s="206">
        <f>SUM(G1155:G1160)</f>
        <v>508.31399999999996</v>
      </c>
      <c r="H1161" s="200" t="s">
        <v>746</v>
      </c>
    </row>
    <row r="1162" spans="1:8" ht="19.5" customHeight="1">
      <c r="A1162" s="296">
        <v>11.29</v>
      </c>
      <c r="B1162" s="284" t="s">
        <v>614</v>
      </c>
      <c r="C1162" s="193"/>
      <c r="D1162" s="283" t="s">
        <v>198</v>
      </c>
      <c r="E1162" s="211" t="s">
        <v>198</v>
      </c>
      <c r="F1162" s="252" t="s">
        <v>198</v>
      </c>
      <c r="G1162" s="273" t="s">
        <v>198</v>
      </c>
      <c r="H1162" s="234" t="s">
        <v>198</v>
      </c>
    </row>
    <row r="1163" spans="1:8" ht="19.5" customHeight="1">
      <c r="A1163" s="189"/>
      <c r="B1163" s="187" t="s">
        <v>617</v>
      </c>
      <c r="C1163" s="188"/>
      <c r="D1163" s="198" t="s">
        <v>198</v>
      </c>
      <c r="E1163" s="191" t="s">
        <v>198</v>
      </c>
      <c r="F1163" s="195" t="s">
        <v>198</v>
      </c>
      <c r="G1163" s="256" t="s">
        <v>198</v>
      </c>
      <c r="H1163" s="228" t="s">
        <v>198</v>
      </c>
    </row>
    <row r="1164" spans="1:8" ht="19.5" customHeight="1">
      <c r="A1164" s="189"/>
      <c r="B1164" s="192"/>
      <c r="C1164" s="188" t="s">
        <v>620</v>
      </c>
      <c r="D1164" s="254">
        <v>1</v>
      </c>
      <c r="E1164" s="191" t="s">
        <v>190</v>
      </c>
      <c r="F1164" s="195">
        <v>114.67</v>
      </c>
      <c r="G1164" s="256">
        <f>D1164*F1164</f>
        <v>114.67</v>
      </c>
      <c r="H1164" s="314" t="s">
        <v>374</v>
      </c>
    </row>
    <row r="1165" spans="1:8" ht="19.5" customHeight="1">
      <c r="A1165" s="189"/>
      <c r="B1165" s="192"/>
      <c r="C1165" s="188" t="s">
        <v>593</v>
      </c>
      <c r="D1165" s="254">
        <v>0.48</v>
      </c>
      <c r="E1165" s="191" t="s">
        <v>348</v>
      </c>
      <c r="F1165" s="252">
        <v>388</v>
      </c>
      <c r="G1165" s="256">
        <f>D1165*F1165</f>
        <v>186.23999999999998</v>
      </c>
      <c r="H1165" s="189"/>
    </row>
    <row r="1166" spans="1:8" ht="19.5" customHeight="1">
      <c r="A1166" s="189"/>
      <c r="B1166" s="192"/>
      <c r="C1166" s="188" t="s">
        <v>350</v>
      </c>
      <c r="D1166" s="198">
        <v>0.2</v>
      </c>
      <c r="E1166" s="191" t="s">
        <v>201</v>
      </c>
      <c r="F1166" s="313">
        <v>12.92</v>
      </c>
      <c r="G1166" s="256">
        <f>D1166*F1166</f>
        <v>2.584</v>
      </c>
      <c r="H1166" s="189"/>
    </row>
    <row r="1167" spans="1:8" ht="19.5" customHeight="1">
      <c r="A1167" s="265"/>
      <c r="B1167" s="259"/>
      <c r="C1167" s="188" t="s">
        <v>427</v>
      </c>
      <c r="D1167" s="198">
        <v>1</v>
      </c>
      <c r="E1167" s="191" t="s">
        <v>190</v>
      </c>
      <c r="F1167" s="313">
        <v>5</v>
      </c>
      <c r="G1167" s="256">
        <f>D1167*F1167</f>
        <v>5</v>
      </c>
      <c r="H1167" s="265"/>
    </row>
    <row r="1168" spans="1:8" ht="19.5" customHeight="1">
      <c r="A1168" s="200"/>
      <c r="B1168" s="201"/>
      <c r="C1168" s="202" t="s">
        <v>748</v>
      </c>
      <c r="D1168" s="203">
        <v>1</v>
      </c>
      <c r="E1168" s="204" t="s">
        <v>190</v>
      </c>
      <c r="F1168" s="205" t="s">
        <v>208</v>
      </c>
      <c r="G1168" s="206">
        <f>SUM(G1162:G1167)</f>
        <v>308.49399999999997</v>
      </c>
      <c r="H1168" s="200" t="s">
        <v>745</v>
      </c>
    </row>
    <row r="1169" spans="1:8" ht="19.5" customHeight="1">
      <c r="A1169" s="296">
        <v>11.3</v>
      </c>
      <c r="B1169" s="284" t="s">
        <v>614</v>
      </c>
      <c r="C1169" s="193"/>
      <c r="D1169" s="283" t="s">
        <v>198</v>
      </c>
      <c r="E1169" s="211" t="s">
        <v>198</v>
      </c>
      <c r="F1169" s="252" t="s">
        <v>198</v>
      </c>
      <c r="G1169" s="273" t="s">
        <v>198</v>
      </c>
      <c r="H1169" s="234" t="s">
        <v>198</v>
      </c>
    </row>
    <row r="1170" spans="1:8" ht="19.5" customHeight="1">
      <c r="A1170" s="189"/>
      <c r="B1170" s="187" t="s">
        <v>619</v>
      </c>
      <c r="C1170" s="188"/>
      <c r="D1170" s="198" t="s">
        <v>198</v>
      </c>
      <c r="E1170" s="191" t="s">
        <v>198</v>
      </c>
      <c r="F1170" s="195" t="s">
        <v>198</v>
      </c>
      <c r="G1170" s="256" t="s">
        <v>198</v>
      </c>
      <c r="H1170" s="228" t="s">
        <v>198</v>
      </c>
    </row>
    <row r="1171" spans="1:8" ht="19.5" customHeight="1">
      <c r="A1171" s="189"/>
      <c r="B1171" s="192"/>
      <c r="C1171" s="188" t="s">
        <v>620</v>
      </c>
      <c r="D1171" s="254">
        <v>1</v>
      </c>
      <c r="E1171" s="191" t="s">
        <v>190</v>
      </c>
      <c r="F1171" s="195">
        <v>114.67</v>
      </c>
      <c r="G1171" s="256">
        <f>D1171*F1171</f>
        <v>114.67</v>
      </c>
      <c r="H1171" s="314" t="s">
        <v>374</v>
      </c>
    </row>
    <row r="1172" spans="1:8" ht="19.5" customHeight="1">
      <c r="A1172" s="189"/>
      <c r="B1172" s="192"/>
      <c r="C1172" s="188" t="s">
        <v>596</v>
      </c>
      <c r="D1172" s="254">
        <v>0.48</v>
      </c>
      <c r="E1172" s="191" t="s">
        <v>348</v>
      </c>
      <c r="F1172" s="252">
        <v>830</v>
      </c>
      <c r="G1172" s="256">
        <f>D1172*F1172</f>
        <v>398.4</v>
      </c>
      <c r="H1172" s="189"/>
    </row>
    <row r="1173" spans="1:8" ht="19.5" customHeight="1">
      <c r="A1173" s="189"/>
      <c r="B1173" s="192"/>
      <c r="C1173" s="188" t="s">
        <v>350</v>
      </c>
      <c r="D1173" s="198">
        <v>0.2</v>
      </c>
      <c r="E1173" s="191" t="s">
        <v>201</v>
      </c>
      <c r="F1173" s="313">
        <v>12.92</v>
      </c>
      <c r="G1173" s="256">
        <f>D1173*F1173</f>
        <v>2.584</v>
      </c>
      <c r="H1173" s="189"/>
    </row>
    <row r="1174" spans="1:8" ht="19.5" customHeight="1">
      <c r="A1174" s="265"/>
      <c r="B1174" s="259"/>
      <c r="C1174" s="188" t="s">
        <v>427</v>
      </c>
      <c r="D1174" s="198">
        <v>1</v>
      </c>
      <c r="E1174" s="191" t="s">
        <v>190</v>
      </c>
      <c r="F1174" s="313">
        <v>5</v>
      </c>
      <c r="G1174" s="256">
        <f>D1174*F1174</f>
        <v>5</v>
      </c>
      <c r="H1174" s="265"/>
    </row>
    <row r="1175" spans="1:8" ht="19.5" customHeight="1">
      <c r="A1175" s="200"/>
      <c r="B1175" s="201"/>
      <c r="C1175" s="328" t="s">
        <v>621</v>
      </c>
      <c r="D1175" s="203">
        <v>1</v>
      </c>
      <c r="E1175" s="204" t="s">
        <v>190</v>
      </c>
      <c r="F1175" s="205" t="s">
        <v>208</v>
      </c>
      <c r="G1175" s="206">
        <f>SUM(G1169:G1174)</f>
        <v>520.6539999999999</v>
      </c>
      <c r="H1175" s="200" t="s">
        <v>746</v>
      </c>
    </row>
    <row r="1176" spans="1:8" ht="21" customHeight="1">
      <c r="A1176" s="296">
        <v>11.31</v>
      </c>
      <c r="B1176" s="284" t="s">
        <v>610</v>
      </c>
      <c r="C1176" s="193"/>
      <c r="D1176" s="283" t="s">
        <v>198</v>
      </c>
      <c r="E1176" s="211" t="s">
        <v>198</v>
      </c>
      <c r="F1176" s="252" t="s">
        <v>198</v>
      </c>
      <c r="G1176" s="273" t="s">
        <v>198</v>
      </c>
      <c r="H1176" s="234" t="s">
        <v>198</v>
      </c>
    </row>
    <row r="1177" spans="1:8" ht="21" customHeight="1">
      <c r="A1177" s="189"/>
      <c r="B1177" s="187" t="s">
        <v>622</v>
      </c>
      <c r="C1177" s="188"/>
      <c r="D1177" s="198" t="s">
        <v>198</v>
      </c>
      <c r="E1177" s="191" t="s">
        <v>198</v>
      </c>
      <c r="F1177" s="195" t="s">
        <v>198</v>
      </c>
      <c r="G1177" s="256" t="s">
        <v>198</v>
      </c>
      <c r="H1177" s="228" t="s">
        <v>198</v>
      </c>
    </row>
    <row r="1178" spans="1:8" ht="21" customHeight="1">
      <c r="A1178" s="189"/>
      <c r="B1178" s="192"/>
      <c r="C1178" s="188" t="s">
        <v>623</v>
      </c>
      <c r="D1178" s="254">
        <v>1</v>
      </c>
      <c r="E1178" s="191" t="s">
        <v>190</v>
      </c>
      <c r="F1178" s="195">
        <v>103.42</v>
      </c>
      <c r="G1178" s="256">
        <f>D1178*F1178</f>
        <v>103.42</v>
      </c>
      <c r="H1178" s="314" t="s">
        <v>374</v>
      </c>
    </row>
    <row r="1179" spans="1:8" ht="21" customHeight="1">
      <c r="A1179" s="189"/>
      <c r="B1179" s="192"/>
      <c r="C1179" s="188" t="s">
        <v>593</v>
      </c>
      <c r="D1179" s="254">
        <v>0.48</v>
      </c>
      <c r="E1179" s="191" t="s">
        <v>348</v>
      </c>
      <c r="F1179" s="252">
        <v>388</v>
      </c>
      <c r="G1179" s="256">
        <f>D1179*F1179</f>
        <v>186.23999999999998</v>
      </c>
      <c r="H1179" s="189"/>
    </row>
    <row r="1180" spans="1:8" ht="21" customHeight="1">
      <c r="A1180" s="189"/>
      <c r="B1180" s="192"/>
      <c r="C1180" s="188" t="s">
        <v>350</v>
      </c>
      <c r="D1180" s="198">
        <v>0.2</v>
      </c>
      <c r="E1180" s="191" t="s">
        <v>201</v>
      </c>
      <c r="F1180" s="313">
        <v>12.92</v>
      </c>
      <c r="G1180" s="256">
        <f>D1180*F1180</f>
        <v>2.584</v>
      </c>
      <c r="H1180" s="189"/>
    </row>
    <row r="1181" spans="1:8" ht="21" customHeight="1">
      <c r="A1181" s="200"/>
      <c r="B1181" s="201"/>
      <c r="C1181" s="202"/>
      <c r="D1181" s="318"/>
      <c r="E1181" s="204"/>
      <c r="F1181" s="319"/>
      <c r="G1181" s="282"/>
      <c r="H1181" s="200"/>
    </row>
    <row r="1182" spans="1:8" ht="21" customHeight="1">
      <c r="A1182" s="238"/>
      <c r="B1182" s="299"/>
      <c r="C1182" s="193" t="s">
        <v>427</v>
      </c>
      <c r="D1182" s="283">
        <v>1</v>
      </c>
      <c r="E1182" s="211" t="s">
        <v>190</v>
      </c>
      <c r="F1182" s="313">
        <v>5</v>
      </c>
      <c r="G1182" s="273">
        <f>D1182*F1182</f>
        <v>5</v>
      </c>
      <c r="H1182" s="238"/>
    </row>
    <row r="1183" spans="1:8" ht="21" customHeight="1">
      <c r="A1183" s="200"/>
      <c r="B1183" s="201"/>
      <c r="C1183" s="202" t="s">
        <v>749</v>
      </c>
      <c r="D1183" s="203">
        <v>1</v>
      </c>
      <c r="E1183" s="204" t="s">
        <v>190</v>
      </c>
      <c r="F1183" s="205" t="s">
        <v>208</v>
      </c>
      <c r="G1183" s="206">
        <f>SUM(G1176:G1182)</f>
        <v>297.24399999999997</v>
      </c>
      <c r="H1183" s="200" t="s">
        <v>745</v>
      </c>
    </row>
    <row r="1184" spans="1:8" ht="21" customHeight="1">
      <c r="A1184" s="296">
        <v>11.32</v>
      </c>
      <c r="B1184" s="284" t="s">
        <v>624</v>
      </c>
      <c r="C1184" s="193"/>
      <c r="D1184" s="283" t="s">
        <v>198</v>
      </c>
      <c r="E1184" s="211" t="s">
        <v>198</v>
      </c>
      <c r="F1184" s="252" t="s">
        <v>198</v>
      </c>
      <c r="G1184" s="273" t="s">
        <v>198</v>
      </c>
      <c r="H1184" s="234" t="s">
        <v>198</v>
      </c>
    </row>
    <row r="1185" spans="1:8" ht="21" customHeight="1">
      <c r="A1185" s="189"/>
      <c r="B1185" s="187" t="s">
        <v>625</v>
      </c>
      <c r="C1185" s="188"/>
      <c r="D1185" s="198" t="s">
        <v>198</v>
      </c>
      <c r="E1185" s="191" t="s">
        <v>198</v>
      </c>
      <c r="F1185" s="195" t="s">
        <v>198</v>
      </c>
      <c r="G1185" s="256" t="s">
        <v>198</v>
      </c>
      <c r="H1185" s="228" t="s">
        <v>198</v>
      </c>
    </row>
    <row r="1186" spans="1:8" ht="21" customHeight="1">
      <c r="A1186" s="189"/>
      <c r="B1186" s="192"/>
      <c r="C1186" s="188" t="s">
        <v>623</v>
      </c>
      <c r="D1186" s="254">
        <v>1</v>
      </c>
      <c r="E1186" s="191" t="s">
        <v>190</v>
      </c>
      <c r="F1186" s="195">
        <v>103.42</v>
      </c>
      <c r="G1186" s="256">
        <f>D1186*F1186</f>
        <v>103.42</v>
      </c>
      <c r="H1186" s="314" t="s">
        <v>374</v>
      </c>
    </row>
    <row r="1187" spans="1:8" ht="21" customHeight="1">
      <c r="A1187" s="189"/>
      <c r="B1187" s="192"/>
      <c r="C1187" s="188" t="s">
        <v>596</v>
      </c>
      <c r="D1187" s="254">
        <v>0.48</v>
      </c>
      <c r="E1187" s="191" t="s">
        <v>348</v>
      </c>
      <c r="F1187" s="252">
        <v>830</v>
      </c>
      <c r="G1187" s="256">
        <f>D1187*F1187</f>
        <v>398.4</v>
      </c>
      <c r="H1187" s="189"/>
    </row>
    <row r="1188" spans="1:8" ht="21" customHeight="1">
      <c r="A1188" s="189"/>
      <c r="B1188" s="192"/>
      <c r="C1188" s="188" t="s">
        <v>350</v>
      </c>
      <c r="D1188" s="198">
        <v>0.2</v>
      </c>
      <c r="E1188" s="191" t="s">
        <v>201</v>
      </c>
      <c r="F1188" s="313">
        <v>12.92</v>
      </c>
      <c r="G1188" s="256">
        <f>D1188*F1188</f>
        <v>2.584</v>
      </c>
      <c r="H1188" s="189"/>
    </row>
    <row r="1189" spans="1:8" ht="21" customHeight="1">
      <c r="A1189" s="265"/>
      <c r="B1189" s="259"/>
      <c r="C1189" s="188" t="s">
        <v>427</v>
      </c>
      <c r="D1189" s="198">
        <v>1</v>
      </c>
      <c r="E1189" s="191" t="s">
        <v>190</v>
      </c>
      <c r="F1189" s="313">
        <v>5</v>
      </c>
      <c r="G1189" s="256">
        <f>D1189*F1189</f>
        <v>5</v>
      </c>
      <c r="H1189" s="265"/>
    </row>
    <row r="1190" spans="1:8" ht="21" customHeight="1">
      <c r="A1190" s="200"/>
      <c r="B1190" s="201"/>
      <c r="C1190" s="202" t="s">
        <v>749</v>
      </c>
      <c r="D1190" s="203">
        <v>1</v>
      </c>
      <c r="E1190" s="204" t="s">
        <v>190</v>
      </c>
      <c r="F1190" s="205" t="s">
        <v>208</v>
      </c>
      <c r="G1190" s="206">
        <f>SUM(G1184:G1189)</f>
        <v>509.404</v>
      </c>
      <c r="H1190" s="200" t="s">
        <v>746</v>
      </c>
    </row>
    <row r="1191" spans="1:8" ht="21" customHeight="1">
      <c r="A1191" s="296">
        <v>11.33</v>
      </c>
      <c r="B1191" s="284" t="s">
        <v>614</v>
      </c>
      <c r="C1191" s="193"/>
      <c r="D1191" s="283" t="s">
        <v>198</v>
      </c>
      <c r="E1191" s="211" t="s">
        <v>198</v>
      </c>
      <c r="F1191" s="252" t="s">
        <v>198</v>
      </c>
      <c r="G1191" s="273" t="s">
        <v>198</v>
      </c>
      <c r="H1191" s="234" t="s">
        <v>198</v>
      </c>
    </row>
    <row r="1192" spans="1:8" ht="21" customHeight="1">
      <c r="A1192" s="189"/>
      <c r="B1192" s="187" t="s">
        <v>622</v>
      </c>
      <c r="C1192" s="188"/>
      <c r="D1192" s="198" t="s">
        <v>198</v>
      </c>
      <c r="E1192" s="191" t="s">
        <v>198</v>
      </c>
      <c r="F1192" s="195" t="s">
        <v>198</v>
      </c>
      <c r="G1192" s="256" t="s">
        <v>198</v>
      </c>
      <c r="H1192" s="228" t="s">
        <v>198</v>
      </c>
    </row>
    <row r="1193" spans="1:8" ht="21" customHeight="1">
      <c r="A1193" s="189"/>
      <c r="B1193" s="192"/>
      <c r="C1193" s="188" t="s">
        <v>626</v>
      </c>
      <c r="D1193" s="254">
        <v>1</v>
      </c>
      <c r="E1193" s="191" t="s">
        <v>190</v>
      </c>
      <c r="F1193" s="195">
        <v>116.17</v>
      </c>
      <c r="G1193" s="256">
        <f>D1193*F1193</f>
        <v>116.17</v>
      </c>
      <c r="H1193" s="314" t="s">
        <v>374</v>
      </c>
    </row>
    <row r="1194" spans="1:8" ht="21" customHeight="1">
      <c r="A1194" s="189"/>
      <c r="B1194" s="192"/>
      <c r="C1194" s="188" t="s">
        <v>593</v>
      </c>
      <c r="D1194" s="254">
        <v>0.48</v>
      </c>
      <c r="E1194" s="191" t="s">
        <v>348</v>
      </c>
      <c r="F1194" s="252">
        <v>388</v>
      </c>
      <c r="G1194" s="256">
        <f>D1194*F1194</f>
        <v>186.23999999999998</v>
      </c>
      <c r="H1194" s="189"/>
    </row>
    <row r="1195" spans="1:8" ht="21" customHeight="1">
      <c r="A1195" s="189"/>
      <c r="B1195" s="192"/>
      <c r="C1195" s="188" t="s">
        <v>350</v>
      </c>
      <c r="D1195" s="198">
        <v>0.2</v>
      </c>
      <c r="E1195" s="191" t="s">
        <v>201</v>
      </c>
      <c r="F1195" s="313">
        <v>12.92</v>
      </c>
      <c r="G1195" s="256">
        <f>D1195*F1195</f>
        <v>2.584</v>
      </c>
      <c r="H1195" s="189"/>
    </row>
    <row r="1196" spans="1:8" ht="21" customHeight="1">
      <c r="A1196" s="265"/>
      <c r="B1196" s="259"/>
      <c r="C1196" s="188" t="s">
        <v>427</v>
      </c>
      <c r="D1196" s="198">
        <v>1</v>
      </c>
      <c r="E1196" s="191" t="s">
        <v>190</v>
      </c>
      <c r="F1196" s="313">
        <v>5</v>
      </c>
      <c r="G1196" s="256">
        <f>D1196*F1196</f>
        <v>5</v>
      </c>
      <c r="H1196" s="265"/>
    </row>
    <row r="1197" spans="1:8" ht="21" customHeight="1">
      <c r="A1197" s="200"/>
      <c r="B1197" s="201"/>
      <c r="C1197" s="202" t="s">
        <v>750</v>
      </c>
      <c r="D1197" s="203">
        <v>1</v>
      </c>
      <c r="E1197" s="204" t="s">
        <v>190</v>
      </c>
      <c r="F1197" s="205" t="s">
        <v>208</v>
      </c>
      <c r="G1197" s="206">
        <f>SUM(G1191:G1196)</f>
        <v>309.99399999999997</v>
      </c>
      <c r="H1197" s="200" t="s">
        <v>745</v>
      </c>
    </row>
    <row r="1198" spans="1:8" ht="21" customHeight="1">
      <c r="A1198" s="296">
        <v>11.34</v>
      </c>
      <c r="B1198" s="284" t="s">
        <v>614</v>
      </c>
      <c r="C1198" s="193"/>
      <c r="D1198" s="283" t="s">
        <v>198</v>
      </c>
      <c r="E1198" s="211" t="s">
        <v>198</v>
      </c>
      <c r="F1198" s="252" t="s">
        <v>198</v>
      </c>
      <c r="G1198" s="273" t="s">
        <v>198</v>
      </c>
      <c r="H1198" s="234" t="s">
        <v>198</v>
      </c>
    </row>
    <row r="1199" spans="1:8" ht="21" customHeight="1">
      <c r="A1199" s="189"/>
      <c r="B1199" s="187" t="s">
        <v>625</v>
      </c>
      <c r="C1199" s="188"/>
      <c r="D1199" s="198" t="s">
        <v>198</v>
      </c>
      <c r="E1199" s="191" t="s">
        <v>198</v>
      </c>
      <c r="F1199" s="195" t="s">
        <v>198</v>
      </c>
      <c r="G1199" s="256" t="s">
        <v>198</v>
      </c>
      <c r="H1199" s="228" t="s">
        <v>198</v>
      </c>
    </row>
    <row r="1200" spans="1:8" ht="21" customHeight="1">
      <c r="A1200" s="189"/>
      <c r="B1200" s="192"/>
      <c r="C1200" s="188" t="s">
        <v>626</v>
      </c>
      <c r="D1200" s="254">
        <v>1</v>
      </c>
      <c r="E1200" s="191" t="s">
        <v>190</v>
      </c>
      <c r="F1200" s="195">
        <v>116.17</v>
      </c>
      <c r="G1200" s="256">
        <f>D1200*F1200</f>
        <v>116.17</v>
      </c>
      <c r="H1200" s="314" t="s">
        <v>374</v>
      </c>
    </row>
    <row r="1201" spans="1:8" ht="21" customHeight="1">
      <c r="A1201" s="189"/>
      <c r="B1201" s="192"/>
      <c r="C1201" s="188" t="s">
        <v>596</v>
      </c>
      <c r="D1201" s="254">
        <v>0.48</v>
      </c>
      <c r="E1201" s="191" t="s">
        <v>348</v>
      </c>
      <c r="F1201" s="252">
        <v>830</v>
      </c>
      <c r="G1201" s="256">
        <f>D1201*F1201</f>
        <v>398.4</v>
      </c>
      <c r="H1201" s="189"/>
    </row>
    <row r="1202" spans="1:8" ht="21" customHeight="1">
      <c r="A1202" s="189"/>
      <c r="B1202" s="192"/>
      <c r="C1202" s="188" t="s">
        <v>350</v>
      </c>
      <c r="D1202" s="198">
        <v>0.2</v>
      </c>
      <c r="E1202" s="191" t="s">
        <v>201</v>
      </c>
      <c r="F1202" s="313">
        <v>12.92</v>
      </c>
      <c r="G1202" s="256">
        <f>D1202*F1202</f>
        <v>2.584</v>
      </c>
      <c r="H1202" s="189"/>
    </row>
    <row r="1203" spans="1:8" ht="21" customHeight="1">
      <c r="A1203" s="265"/>
      <c r="B1203" s="259"/>
      <c r="C1203" s="188" t="s">
        <v>427</v>
      </c>
      <c r="D1203" s="198">
        <v>1</v>
      </c>
      <c r="E1203" s="191" t="s">
        <v>190</v>
      </c>
      <c r="F1203" s="313">
        <v>5</v>
      </c>
      <c r="G1203" s="256">
        <f>D1203*F1203</f>
        <v>5</v>
      </c>
      <c r="H1203" s="265"/>
    </row>
    <row r="1204" spans="1:8" ht="21" customHeight="1">
      <c r="A1204" s="200"/>
      <c r="B1204" s="201"/>
      <c r="C1204" s="202" t="s">
        <v>750</v>
      </c>
      <c r="D1204" s="203">
        <v>1</v>
      </c>
      <c r="E1204" s="204" t="s">
        <v>190</v>
      </c>
      <c r="F1204" s="205" t="s">
        <v>208</v>
      </c>
      <c r="G1204" s="206">
        <f>SUM(G1198:G1203)</f>
        <v>522.1539999999999</v>
      </c>
      <c r="H1204" s="200" t="s">
        <v>746</v>
      </c>
    </row>
    <row r="1205" spans="1:8" ht="20.25">
      <c r="A1205" s="296">
        <v>11.35</v>
      </c>
      <c r="B1205" s="284" t="s">
        <v>627</v>
      </c>
      <c r="C1205" s="193"/>
      <c r="D1205" s="283" t="s">
        <v>198</v>
      </c>
      <c r="E1205" s="211" t="s">
        <v>198</v>
      </c>
      <c r="F1205" s="252" t="s">
        <v>198</v>
      </c>
      <c r="G1205" s="273" t="s">
        <v>198</v>
      </c>
      <c r="H1205" s="234" t="s">
        <v>198</v>
      </c>
    </row>
    <row r="1206" spans="1:8" ht="20.25">
      <c r="A1206" s="189"/>
      <c r="B1206" s="187" t="s">
        <v>628</v>
      </c>
      <c r="C1206" s="188"/>
      <c r="D1206" s="198" t="s">
        <v>198</v>
      </c>
      <c r="E1206" s="191" t="s">
        <v>198</v>
      </c>
      <c r="F1206" s="195" t="s">
        <v>198</v>
      </c>
      <c r="G1206" s="256" t="s">
        <v>198</v>
      </c>
      <c r="H1206" s="228" t="s">
        <v>198</v>
      </c>
    </row>
    <row r="1207" spans="1:8" ht="19.5">
      <c r="A1207" s="189"/>
      <c r="B1207" s="192"/>
      <c r="C1207" s="188" t="s">
        <v>426</v>
      </c>
      <c r="D1207" s="254">
        <v>1</v>
      </c>
      <c r="E1207" s="191" t="s">
        <v>190</v>
      </c>
      <c r="F1207" s="195">
        <v>79.33</v>
      </c>
      <c r="G1207" s="256">
        <f>D1207*F1207</f>
        <v>79.33</v>
      </c>
      <c r="H1207" s="314" t="s">
        <v>374</v>
      </c>
    </row>
    <row r="1208" spans="1:8" ht="19.5">
      <c r="A1208" s="189"/>
      <c r="B1208" s="192"/>
      <c r="C1208" s="188" t="s">
        <v>436</v>
      </c>
      <c r="D1208" s="254">
        <v>1</v>
      </c>
      <c r="E1208" s="191" t="s">
        <v>190</v>
      </c>
      <c r="F1208" s="252">
        <v>170</v>
      </c>
      <c r="G1208" s="256">
        <f>D1208*F1208</f>
        <v>170</v>
      </c>
      <c r="H1208" s="189"/>
    </row>
    <row r="1209" spans="1:8" ht="19.5">
      <c r="A1209" s="189"/>
      <c r="B1209" s="192"/>
      <c r="C1209" s="188" t="s">
        <v>437</v>
      </c>
      <c r="D1209" s="198">
        <v>0.11</v>
      </c>
      <c r="E1209" s="191" t="s">
        <v>201</v>
      </c>
      <c r="F1209" s="313">
        <v>25</v>
      </c>
      <c r="G1209" s="256">
        <f>D1209*F1209</f>
        <v>2.75</v>
      </c>
      <c r="H1209" s="189"/>
    </row>
    <row r="1210" spans="1:8" ht="19.5">
      <c r="A1210" s="265"/>
      <c r="B1210" s="259"/>
      <c r="C1210" s="188" t="s">
        <v>427</v>
      </c>
      <c r="D1210" s="198">
        <v>2</v>
      </c>
      <c r="E1210" s="191" t="s">
        <v>190</v>
      </c>
      <c r="F1210" s="313">
        <v>5</v>
      </c>
      <c r="G1210" s="256">
        <f>D1210*F1210</f>
        <v>10</v>
      </c>
      <c r="H1210" s="265"/>
    </row>
    <row r="1211" spans="1:8" ht="19.5">
      <c r="A1211" s="265"/>
      <c r="B1211" s="259"/>
      <c r="C1211" s="188" t="s">
        <v>629</v>
      </c>
      <c r="D1211" s="198">
        <v>1</v>
      </c>
      <c r="E1211" s="191" t="s">
        <v>190</v>
      </c>
      <c r="F1211" s="313">
        <v>100</v>
      </c>
      <c r="G1211" s="256">
        <f>D1211*F1211</f>
        <v>100</v>
      </c>
      <c r="H1211" s="265"/>
    </row>
    <row r="1212" spans="1:8" ht="20.25">
      <c r="A1212" s="200"/>
      <c r="B1212" s="201"/>
      <c r="C1212" s="202" t="s">
        <v>630</v>
      </c>
      <c r="D1212" s="203">
        <v>1</v>
      </c>
      <c r="E1212" s="204" t="s">
        <v>190</v>
      </c>
      <c r="F1212" s="205" t="s">
        <v>208</v>
      </c>
      <c r="G1212" s="206">
        <f>SUM(G1205:G1211)</f>
        <v>362.08</v>
      </c>
      <c r="H1212" s="200" t="s">
        <v>440</v>
      </c>
    </row>
    <row r="1213" spans="1:8" ht="20.25">
      <c r="A1213" s="296">
        <v>11.36</v>
      </c>
      <c r="B1213" s="284" t="s">
        <v>614</v>
      </c>
      <c r="C1213" s="193"/>
      <c r="D1213" s="283" t="s">
        <v>198</v>
      </c>
      <c r="E1213" s="211" t="s">
        <v>198</v>
      </c>
      <c r="F1213" s="252" t="s">
        <v>198</v>
      </c>
      <c r="G1213" s="273" t="s">
        <v>198</v>
      </c>
      <c r="H1213" s="234" t="s">
        <v>198</v>
      </c>
    </row>
    <row r="1214" spans="1:8" ht="20.25">
      <c r="A1214" s="189"/>
      <c r="B1214" s="187" t="s">
        <v>628</v>
      </c>
      <c r="C1214" s="188"/>
      <c r="D1214" s="198" t="s">
        <v>198</v>
      </c>
      <c r="E1214" s="191" t="s">
        <v>198</v>
      </c>
      <c r="F1214" s="195" t="s">
        <v>198</v>
      </c>
      <c r="G1214" s="256" t="s">
        <v>198</v>
      </c>
      <c r="H1214" s="228" t="s">
        <v>198</v>
      </c>
    </row>
    <row r="1215" spans="1:8" ht="19.5">
      <c r="A1215" s="189"/>
      <c r="B1215" s="192"/>
      <c r="C1215" s="188" t="s">
        <v>430</v>
      </c>
      <c r="D1215" s="254">
        <v>1</v>
      </c>
      <c r="E1215" s="191" t="s">
        <v>190</v>
      </c>
      <c r="F1215" s="195">
        <v>83.33</v>
      </c>
      <c r="G1215" s="256">
        <f>D1215*F1215</f>
        <v>83.33</v>
      </c>
      <c r="H1215" s="314" t="s">
        <v>374</v>
      </c>
    </row>
    <row r="1216" spans="1:8" ht="19.5">
      <c r="A1216" s="189"/>
      <c r="B1216" s="192"/>
      <c r="C1216" s="188" t="s">
        <v>436</v>
      </c>
      <c r="D1216" s="254">
        <v>1</v>
      </c>
      <c r="E1216" s="191" t="s">
        <v>190</v>
      </c>
      <c r="F1216" s="252">
        <v>170</v>
      </c>
      <c r="G1216" s="256">
        <f>D1216*F1216</f>
        <v>170</v>
      </c>
      <c r="H1216" s="189"/>
    </row>
    <row r="1217" spans="1:8" ht="19.5">
      <c r="A1217" s="189"/>
      <c r="B1217" s="192"/>
      <c r="C1217" s="188" t="s">
        <v>437</v>
      </c>
      <c r="D1217" s="198">
        <v>0.11</v>
      </c>
      <c r="E1217" s="191" t="s">
        <v>201</v>
      </c>
      <c r="F1217" s="313">
        <v>25</v>
      </c>
      <c r="G1217" s="256">
        <f>D1217*F1217</f>
        <v>2.75</v>
      </c>
      <c r="H1217" s="189"/>
    </row>
    <row r="1218" spans="1:8" ht="19.5">
      <c r="A1218" s="265"/>
      <c r="B1218" s="259"/>
      <c r="C1218" s="188" t="s">
        <v>427</v>
      </c>
      <c r="D1218" s="198">
        <v>2</v>
      </c>
      <c r="E1218" s="191" t="s">
        <v>190</v>
      </c>
      <c r="F1218" s="313">
        <v>5</v>
      </c>
      <c r="G1218" s="256">
        <f>D1218*F1218</f>
        <v>10</v>
      </c>
      <c r="H1218" s="265"/>
    </row>
    <row r="1219" spans="1:8" ht="19.5">
      <c r="A1219" s="265"/>
      <c r="B1219" s="259"/>
      <c r="C1219" s="188" t="s">
        <v>629</v>
      </c>
      <c r="D1219" s="198">
        <v>1</v>
      </c>
      <c r="E1219" s="191" t="s">
        <v>190</v>
      </c>
      <c r="F1219" s="313">
        <v>100</v>
      </c>
      <c r="G1219" s="256">
        <f>D1219*F1219</f>
        <v>100</v>
      </c>
      <c r="H1219" s="265"/>
    </row>
    <row r="1220" spans="1:8" ht="20.25">
      <c r="A1220" s="265"/>
      <c r="B1220" s="259"/>
      <c r="C1220" s="260" t="s">
        <v>631</v>
      </c>
      <c r="D1220" s="261">
        <v>1</v>
      </c>
      <c r="E1220" s="262" t="s">
        <v>190</v>
      </c>
      <c r="F1220" s="263" t="s">
        <v>208</v>
      </c>
      <c r="G1220" s="264">
        <f>SUM(G1213:G1219)</f>
        <v>366.08</v>
      </c>
      <c r="H1220" s="265" t="s">
        <v>440</v>
      </c>
    </row>
    <row r="1221" spans="1:8" ht="20.25">
      <c r="A1221" s="189"/>
      <c r="B1221" s="192"/>
      <c r="C1221" s="188"/>
      <c r="D1221" s="194"/>
      <c r="E1221" s="191"/>
      <c r="F1221" s="212"/>
      <c r="G1221" s="213"/>
      <c r="H1221" s="189"/>
    </row>
    <row r="1222" spans="1:8" ht="20.25">
      <c r="A1222" s="200"/>
      <c r="B1222" s="201"/>
      <c r="C1222" s="202"/>
      <c r="D1222" s="203"/>
      <c r="E1222" s="204"/>
      <c r="F1222" s="205"/>
      <c r="G1222" s="206"/>
      <c r="H1222" s="200"/>
    </row>
    <row r="1223" spans="1:8" ht="20.25">
      <c r="A1223" s="296">
        <v>11.37</v>
      </c>
      <c r="B1223" s="284" t="s">
        <v>627</v>
      </c>
      <c r="C1223" s="193"/>
      <c r="D1223" s="283" t="s">
        <v>198</v>
      </c>
      <c r="E1223" s="211" t="s">
        <v>198</v>
      </c>
      <c r="F1223" s="252" t="s">
        <v>198</v>
      </c>
      <c r="G1223" s="273" t="s">
        <v>198</v>
      </c>
      <c r="H1223" s="234" t="s">
        <v>198</v>
      </c>
    </row>
    <row r="1224" spans="1:8" ht="20.25">
      <c r="A1224" s="189"/>
      <c r="B1224" s="187" t="s">
        <v>632</v>
      </c>
      <c r="C1224" s="188"/>
      <c r="D1224" s="198" t="s">
        <v>198</v>
      </c>
      <c r="E1224" s="191" t="s">
        <v>198</v>
      </c>
      <c r="F1224" s="195" t="s">
        <v>198</v>
      </c>
      <c r="G1224" s="256" t="s">
        <v>198</v>
      </c>
      <c r="H1224" s="228" t="s">
        <v>198</v>
      </c>
    </row>
    <row r="1225" spans="1:8" ht="19.5">
      <c r="A1225" s="189"/>
      <c r="B1225" s="192"/>
      <c r="C1225" s="188" t="s">
        <v>426</v>
      </c>
      <c r="D1225" s="254">
        <v>1</v>
      </c>
      <c r="E1225" s="191" t="s">
        <v>190</v>
      </c>
      <c r="F1225" s="195">
        <v>102.33</v>
      </c>
      <c r="G1225" s="256">
        <f>D1225*F1225</f>
        <v>102.33</v>
      </c>
      <c r="H1225" s="314" t="s">
        <v>374</v>
      </c>
    </row>
    <row r="1226" spans="1:8" ht="19.5">
      <c r="A1226" s="189"/>
      <c r="B1226" s="192"/>
      <c r="C1226" s="188" t="s">
        <v>436</v>
      </c>
      <c r="D1226" s="254">
        <v>1</v>
      </c>
      <c r="E1226" s="191" t="s">
        <v>190</v>
      </c>
      <c r="F1226" s="252">
        <v>170</v>
      </c>
      <c r="G1226" s="256">
        <f>D1226*F1226</f>
        <v>170</v>
      </c>
      <c r="H1226" s="189"/>
    </row>
    <row r="1227" spans="1:8" ht="19.5">
      <c r="A1227" s="189"/>
      <c r="B1227" s="192"/>
      <c r="C1227" s="188" t="s">
        <v>437</v>
      </c>
      <c r="D1227" s="198">
        <v>0.11</v>
      </c>
      <c r="E1227" s="191" t="s">
        <v>201</v>
      </c>
      <c r="F1227" s="313">
        <v>25</v>
      </c>
      <c r="G1227" s="256">
        <f>D1227*F1227</f>
        <v>2.75</v>
      </c>
      <c r="H1227" s="189"/>
    </row>
    <row r="1228" spans="1:8" ht="19.5">
      <c r="A1228" s="265"/>
      <c r="B1228" s="259"/>
      <c r="C1228" s="188" t="s">
        <v>427</v>
      </c>
      <c r="D1228" s="198">
        <v>2</v>
      </c>
      <c r="E1228" s="191" t="s">
        <v>190</v>
      </c>
      <c r="F1228" s="313">
        <v>5</v>
      </c>
      <c r="G1228" s="256">
        <f>D1228*F1228</f>
        <v>10</v>
      </c>
      <c r="H1228" s="265"/>
    </row>
    <row r="1229" spans="1:8" ht="19.5">
      <c r="A1229" s="265"/>
      <c r="B1229" s="259"/>
      <c r="C1229" s="188" t="s">
        <v>629</v>
      </c>
      <c r="D1229" s="198">
        <v>1</v>
      </c>
      <c r="E1229" s="191" t="s">
        <v>190</v>
      </c>
      <c r="F1229" s="313">
        <v>100</v>
      </c>
      <c r="G1229" s="256">
        <f>D1229*F1229</f>
        <v>100</v>
      </c>
      <c r="H1229" s="265"/>
    </row>
    <row r="1230" spans="1:8" ht="20.25">
      <c r="A1230" s="200"/>
      <c r="B1230" s="201"/>
      <c r="C1230" s="202" t="s">
        <v>630</v>
      </c>
      <c r="D1230" s="203">
        <v>1</v>
      </c>
      <c r="E1230" s="204" t="s">
        <v>190</v>
      </c>
      <c r="F1230" s="205" t="s">
        <v>208</v>
      </c>
      <c r="G1230" s="206">
        <f>SUM(G1223:G1229)</f>
        <v>385.08</v>
      </c>
      <c r="H1230" s="200" t="s">
        <v>440</v>
      </c>
    </row>
    <row r="1231" spans="1:8" ht="20.25">
      <c r="A1231" s="296">
        <v>11.38</v>
      </c>
      <c r="B1231" s="284" t="s">
        <v>614</v>
      </c>
      <c r="C1231" s="193"/>
      <c r="D1231" s="283" t="s">
        <v>198</v>
      </c>
      <c r="E1231" s="211" t="s">
        <v>198</v>
      </c>
      <c r="F1231" s="252" t="s">
        <v>198</v>
      </c>
      <c r="G1231" s="273" t="s">
        <v>198</v>
      </c>
      <c r="H1231" s="234" t="s">
        <v>198</v>
      </c>
    </row>
    <row r="1232" spans="1:8" ht="20.25">
      <c r="A1232" s="189"/>
      <c r="B1232" s="187" t="s">
        <v>632</v>
      </c>
      <c r="C1232" s="188"/>
      <c r="D1232" s="198" t="s">
        <v>198</v>
      </c>
      <c r="E1232" s="191" t="s">
        <v>198</v>
      </c>
      <c r="F1232" s="195" t="s">
        <v>198</v>
      </c>
      <c r="G1232" s="256" t="s">
        <v>198</v>
      </c>
      <c r="H1232" s="228" t="s">
        <v>198</v>
      </c>
    </row>
    <row r="1233" spans="1:8" ht="19.5">
      <c r="A1233" s="189"/>
      <c r="B1233" s="192"/>
      <c r="C1233" s="188" t="s">
        <v>430</v>
      </c>
      <c r="D1233" s="254">
        <v>1</v>
      </c>
      <c r="E1233" s="191" t="s">
        <v>190</v>
      </c>
      <c r="F1233" s="195">
        <v>114.67</v>
      </c>
      <c r="G1233" s="256">
        <f>D1233*F1233</f>
        <v>114.67</v>
      </c>
      <c r="H1233" s="314" t="s">
        <v>374</v>
      </c>
    </row>
    <row r="1234" spans="1:8" ht="19.5">
      <c r="A1234" s="189"/>
      <c r="B1234" s="192"/>
      <c r="C1234" s="188" t="s">
        <v>436</v>
      </c>
      <c r="D1234" s="254">
        <v>1</v>
      </c>
      <c r="E1234" s="191" t="s">
        <v>190</v>
      </c>
      <c r="F1234" s="252">
        <v>170</v>
      </c>
      <c r="G1234" s="256">
        <f>D1234*F1234</f>
        <v>170</v>
      </c>
      <c r="H1234" s="189"/>
    </row>
    <row r="1235" spans="1:8" ht="19.5">
      <c r="A1235" s="189"/>
      <c r="B1235" s="192"/>
      <c r="C1235" s="188" t="s">
        <v>437</v>
      </c>
      <c r="D1235" s="198">
        <v>0.11</v>
      </c>
      <c r="E1235" s="191" t="s">
        <v>201</v>
      </c>
      <c r="F1235" s="313">
        <v>25</v>
      </c>
      <c r="G1235" s="256">
        <f>D1235*F1235</f>
        <v>2.75</v>
      </c>
      <c r="H1235" s="189"/>
    </row>
    <row r="1236" spans="1:8" ht="19.5">
      <c r="A1236" s="265"/>
      <c r="B1236" s="259"/>
      <c r="C1236" s="260" t="s">
        <v>427</v>
      </c>
      <c r="D1236" s="305">
        <v>2</v>
      </c>
      <c r="E1236" s="262" t="s">
        <v>190</v>
      </c>
      <c r="F1236" s="335">
        <v>5</v>
      </c>
      <c r="G1236" s="307">
        <f>D1236*F1236</f>
        <v>10</v>
      </c>
      <c r="H1236" s="265"/>
    </row>
    <row r="1237" spans="1:8" ht="19.5">
      <c r="A1237" s="189"/>
      <c r="B1237" s="192"/>
      <c r="C1237" s="188" t="s">
        <v>629</v>
      </c>
      <c r="D1237" s="198">
        <v>1</v>
      </c>
      <c r="E1237" s="191" t="s">
        <v>190</v>
      </c>
      <c r="F1237" s="255">
        <v>100</v>
      </c>
      <c r="G1237" s="256">
        <f>D1237*F1237</f>
        <v>100</v>
      </c>
      <c r="H1237" s="189"/>
    </row>
    <row r="1238" spans="1:8" ht="20.25">
      <c r="A1238" s="200"/>
      <c r="B1238" s="201"/>
      <c r="C1238" s="202" t="s">
        <v>631</v>
      </c>
      <c r="D1238" s="203">
        <v>1</v>
      </c>
      <c r="E1238" s="204" t="s">
        <v>190</v>
      </c>
      <c r="F1238" s="205" t="s">
        <v>208</v>
      </c>
      <c r="G1238" s="206">
        <f>SUM(G1231:G1237)</f>
        <v>397.42</v>
      </c>
      <c r="H1238" s="200" t="s">
        <v>440</v>
      </c>
    </row>
    <row r="1239" spans="1:8" ht="21" customHeight="1">
      <c r="A1239" s="296">
        <v>11.39</v>
      </c>
      <c r="B1239" s="284" t="s">
        <v>633</v>
      </c>
      <c r="C1239" s="193"/>
      <c r="D1239" s="283" t="s">
        <v>198</v>
      </c>
      <c r="E1239" s="211" t="s">
        <v>198</v>
      </c>
      <c r="F1239" s="252" t="s">
        <v>198</v>
      </c>
      <c r="G1239" s="273" t="s">
        <v>198</v>
      </c>
      <c r="H1239" s="234" t="s">
        <v>198</v>
      </c>
    </row>
    <row r="1240" spans="1:8" ht="20.25">
      <c r="A1240" s="189"/>
      <c r="B1240" s="187" t="s">
        <v>634</v>
      </c>
      <c r="C1240" s="188"/>
      <c r="D1240" s="198" t="s">
        <v>198</v>
      </c>
      <c r="E1240" s="191" t="s">
        <v>198</v>
      </c>
      <c r="F1240" s="195" t="s">
        <v>198</v>
      </c>
      <c r="G1240" s="256" t="s">
        <v>198</v>
      </c>
      <c r="H1240" s="228" t="s">
        <v>198</v>
      </c>
    </row>
    <row r="1241" spans="1:8" ht="19.5">
      <c r="A1241" s="189"/>
      <c r="B1241" s="192"/>
      <c r="C1241" s="188" t="s">
        <v>635</v>
      </c>
      <c r="D1241" s="254">
        <v>1</v>
      </c>
      <c r="E1241" s="191" t="s">
        <v>190</v>
      </c>
      <c r="F1241" s="195">
        <v>144</v>
      </c>
      <c r="G1241" s="256">
        <f>D1241*F1241</f>
        <v>144</v>
      </c>
      <c r="H1241" s="314" t="s">
        <v>374</v>
      </c>
    </row>
    <row r="1242" spans="1:8" ht="19.5">
      <c r="A1242" s="189"/>
      <c r="B1242" s="192"/>
      <c r="C1242" s="188" t="s">
        <v>436</v>
      </c>
      <c r="D1242" s="254">
        <v>1</v>
      </c>
      <c r="E1242" s="191" t="s">
        <v>190</v>
      </c>
      <c r="F1242" s="252">
        <v>170</v>
      </c>
      <c r="G1242" s="256">
        <f>D1242*F1242</f>
        <v>170</v>
      </c>
      <c r="H1242" s="189"/>
    </row>
    <row r="1243" spans="1:8" ht="19.5">
      <c r="A1243" s="189"/>
      <c r="B1243" s="192"/>
      <c r="C1243" s="188" t="s">
        <v>437</v>
      </c>
      <c r="D1243" s="198">
        <v>0.11</v>
      </c>
      <c r="E1243" s="191" t="s">
        <v>201</v>
      </c>
      <c r="F1243" s="313">
        <v>25</v>
      </c>
      <c r="G1243" s="256">
        <f>D1243*F1243</f>
        <v>2.75</v>
      </c>
      <c r="H1243" s="189"/>
    </row>
    <row r="1244" spans="1:8" ht="19.5">
      <c r="A1244" s="265"/>
      <c r="B1244" s="259"/>
      <c r="C1244" s="188" t="s">
        <v>427</v>
      </c>
      <c r="D1244" s="198">
        <v>2</v>
      </c>
      <c r="E1244" s="191" t="s">
        <v>190</v>
      </c>
      <c r="F1244" s="313">
        <v>5</v>
      </c>
      <c r="G1244" s="256">
        <f>D1244*F1244</f>
        <v>10</v>
      </c>
      <c r="H1244" s="265"/>
    </row>
    <row r="1245" spans="1:8" ht="19.5">
      <c r="A1245" s="265"/>
      <c r="B1245" s="259"/>
      <c r="C1245" s="188" t="s">
        <v>629</v>
      </c>
      <c r="D1245" s="198">
        <v>1</v>
      </c>
      <c r="E1245" s="191" t="s">
        <v>190</v>
      </c>
      <c r="F1245" s="313">
        <v>100</v>
      </c>
      <c r="G1245" s="256">
        <f>D1245*F1245</f>
        <v>100</v>
      </c>
      <c r="H1245" s="265"/>
    </row>
    <row r="1246" spans="1:8" ht="20.25">
      <c r="A1246" s="200"/>
      <c r="B1246" s="201"/>
      <c r="C1246" s="202" t="s">
        <v>630</v>
      </c>
      <c r="D1246" s="203">
        <v>1</v>
      </c>
      <c r="E1246" s="204" t="s">
        <v>190</v>
      </c>
      <c r="F1246" s="205" t="s">
        <v>208</v>
      </c>
      <c r="G1246" s="206">
        <f>SUM(G1239:G1245)</f>
        <v>426.75</v>
      </c>
      <c r="H1246" s="200" t="s">
        <v>440</v>
      </c>
    </row>
    <row r="1247" spans="1:8" ht="20.25">
      <c r="A1247" s="296">
        <v>11.4</v>
      </c>
      <c r="B1247" s="284" t="s">
        <v>636</v>
      </c>
      <c r="C1247" s="193"/>
      <c r="D1247" s="283" t="s">
        <v>198</v>
      </c>
      <c r="E1247" s="211" t="s">
        <v>198</v>
      </c>
      <c r="F1247" s="252" t="s">
        <v>198</v>
      </c>
      <c r="G1247" s="273" t="s">
        <v>198</v>
      </c>
      <c r="H1247" s="234" t="s">
        <v>198</v>
      </c>
    </row>
    <row r="1248" spans="1:8" ht="20.25">
      <c r="A1248" s="189"/>
      <c r="B1248" s="187" t="s">
        <v>637</v>
      </c>
      <c r="C1248" s="188"/>
      <c r="D1248" s="198" t="s">
        <v>198</v>
      </c>
      <c r="E1248" s="191" t="s">
        <v>198</v>
      </c>
      <c r="F1248" s="195" t="s">
        <v>198</v>
      </c>
      <c r="G1248" s="256" t="s">
        <v>198</v>
      </c>
      <c r="H1248" s="228" t="s">
        <v>198</v>
      </c>
    </row>
    <row r="1249" spans="1:8" ht="19.5">
      <c r="A1249" s="189"/>
      <c r="B1249" s="192"/>
      <c r="C1249" s="188" t="s">
        <v>638</v>
      </c>
      <c r="D1249" s="254">
        <v>1</v>
      </c>
      <c r="E1249" s="191" t="s">
        <v>190</v>
      </c>
      <c r="F1249" s="195">
        <v>144</v>
      </c>
      <c r="G1249" s="256">
        <f>D1249*F1249</f>
        <v>144</v>
      </c>
      <c r="H1249" s="314" t="s">
        <v>374</v>
      </c>
    </row>
    <row r="1250" spans="1:8" ht="19.5">
      <c r="A1250" s="189"/>
      <c r="B1250" s="192"/>
      <c r="C1250" s="188" t="s">
        <v>436</v>
      </c>
      <c r="D1250" s="254">
        <v>1</v>
      </c>
      <c r="E1250" s="191" t="s">
        <v>190</v>
      </c>
      <c r="F1250" s="252">
        <v>170</v>
      </c>
      <c r="G1250" s="256">
        <f>D1250*F1250</f>
        <v>170</v>
      </c>
      <c r="H1250" s="189"/>
    </row>
    <row r="1251" spans="1:8" ht="19.5">
      <c r="A1251" s="189"/>
      <c r="B1251" s="192"/>
      <c r="C1251" s="188" t="s">
        <v>437</v>
      </c>
      <c r="D1251" s="198">
        <v>0.11</v>
      </c>
      <c r="E1251" s="191" t="s">
        <v>201</v>
      </c>
      <c r="F1251" s="313">
        <v>25</v>
      </c>
      <c r="G1251" s="256">
        <f>D1251*F1251</f>
        <v>2.75</v>
      </c>
      <c r="H1251" s="189"/>
    </row>
    <row r="1252" spans="1:8" ht="19.5">
      <c r="A1252" s="265"/>
      <c r="B1252" s="259"/>
      <c r="C1252" s="188" t="s">
        <v>427</v>
      </c>
      <c r="D1252" s="198">
        <v>2</v>
      </c>
      <c r="E1252" s="191" t="s">
        <v>190</v>
      </c>
      <c r="F1252" s="313">
        <v>5</v>
      </c>
      <c r="G1252" s="256">
        <f>D1252*F1252</f>
        <v>10</v>
      </c>
      <c r="H1252" s="265"/>
    </row>
    <row r="1253" spans="1:8" ht="19.5">
      <c r="A1253" s="265"/>
      <c r="B1253" s="259"/>
      <c r="C1253" s="188" t="s">
        <v>629</v>
      </c>
      <c r="D1253" s="198">
        <v>1</v>
      </c>
      <c r="E1253" s="191" t="s">
        <v>190</v>
      </c>
      <c r="F1253" s="313">
        <v>100</v>
      </c>
      <c r="G1253" s="256">
        <f>D1253*F1253</f>
        <v>100</v>
      </c>
      <c r="H1253" s="265"/>
    </row>
    <row r="1254" spans="1:8" ht="20.25">
      <c r="A1254" s="200"/>
      <c r="B1254" s="201"/>
      <c r="C1254" s="202" t="s">
        <v>630</v>
      </c>
      <c r="D1254" s="203">
        <v>1</v>
      </c>
      <c r="E1254" s="204" t="s">
        <v>190</v>
      </c>
      <c r="F1254" s="205" t="s">
        <v>208</v>
      </c>
      <c r="G1254" s="206">
        <f>SUM(G1247:G1253)</f>
        <v>426.75</v>
      </c>
      <c r="H1254" s="200" t="s">
        <v>440</v>
      </c>
    </row>
    <row r="1255" spans="1:8" ht="20.25">
      <c r="A1255" s="296">
        <v>11.41</v>
      </c>
      <c r="B1255" s="284" t="s">
        <v>639</v>
      </c>
      <c r="C1255" s="193"/>
      <c r="D1255" s="283" t="s">
        <v>198</v>
      </c>
      <c r="E1255" s="211" t="s">
        <v>198</v>
      </c>
      <c r="F1255" s="252" t="s">
        <v>198</v>
      </c>
      <c r="G1255" s="273" t="s">
        <v>198</v>
      </c>
      <c r="H1255" s="234" t="s">
        <v>198</v>
      </c>
    </row>
    <row r="1256" spans="1:8" ht="20.25">
      <c r="A1256" s="189"/>
      <c r="B1256" s="187" t="s">
        <v>640</v>
      </c>
      <c r="C1256" s="188"/>
      <c r="D1256" s="198" t="s">
        <v>198</v>
      </c>
      <c r="E1256" s="191" t="s">
        <v>198</v>
      </c>
      <c r="F1256" s="195" t="s">
        <v>198</v>
      </c>
      <c r="G1256" s="256" t="s">
        <v>198</v>
      </c>
      <c r="H1256" s="228" t="s">
        <v>198</v>
      </c>
    </row>
    <row r="1257" spans="1:8" ht="19.5">
      <c r="A1257" s="189"/>
      <c r="B1257" s="192"/>
      <c r="C1257" s="188" t="s">
        <v>635</v>
      </c>
      <c r="D1257" s="254">
        <v>1</v>
      </c>
      <c r="E1257" s="191" t="s">
        <v>190</v>
      </c>
      <c r="F1257" s="195">
        <v>72.92</v>
      </c>
      <c r="G1257" s="256">
        <f>D1257*F1257</f>
        <v>72.92</v>
      </c>
      <c r="H1257" s="314" t="s">
        <v>374</v>
      </c>
    </row>
    <row r="1258" spans="1:8" ht="19.5">
      <c r="A1258" s="189"/>
      <c r="B1258" s="192"/>
      <c r="C1258" s="188" t="s">
        <v>436</v>
      </c>
      <c r="D1258" s="254">
        <v>1</v>
      </c>
      <c r="E1258" s="191" t="s">
        <v>190</v>
      </c>
      <c r="F1258" s="252">
        <v>170</v>
      </c>
      <c r="G1258" s="256">
        <f>D1258*F1258</f>
        <v>170</v>
      </c>
      <c r="H1258" s="189"/>
    </row>
    <row r="1259" spans="1:8" ht="19.5">
      <c r="A1259" s="189"/>
      <c r="B1259" s="192"/>
      <c r="C1259" s="188" t="s">
        <v>437</v>
      </c>
      <c r="D1259" s="198">
        <v>0.11</v>
      </c>
      <c r="E1259" s="191" t="s">
        <v>201</v>
      </c>
      <c r="F1259" s="313">
        <v>25</v>
      </c>
      <c r="G1259" s="256">
        <f>D1259*F1259</f>
        <v>2.75</v>
      </c>
      <c r="H1259" s="189"/>
    </row>
    <row r="1260" spans="1:8" ht="19.5">
      <c r="A1260" s="265"/>
      <c r="B1260" s="259"/>
      <c r="C1260" s="188" t="s">
        <v>427</v>
      </c>
      <c r="D1260" s="198">
        <v>2</v>
      </c>
      <c r="E1260" s="191" t="s">
        <v>190</v>
      </c>
      <c r="F1260" s="313">
        <v>5</v>
      </c>
      <c r="G1260" s="256">
        <f>D1260*F1260</f>
        <v>10</v>
      </c>
      <c r="H1260" s="265"/>
    </row>
    <row r="1261" spans="1:8" ht="19.5">
      <c r="A1261" s="265"/>
      <c r="B1261" s="259"/>
      <c r="C1261" s="188" t="s">
        <v>629</v>
      </c>
      <c r="D1261" s="198">
        <v>1</v>
      </c>
      <c r="E1261" s="191" t="s">
        <v>190</v>
      </c>
      <c r="F1261" s="313">
        <v>100</v>
      </c>
      <c r="G1261" s="256">
        <f>D1261*F1261</f>
        <v>100</v>
      </c>
      <c r="H1261" s="265"/>
    </row>
    <row r="1262" spans="1:8" ht="20.25">
      <c r="A1262" s="200"/>
      <c r="B1262" s="201"/>
      <c r="C1262" s="202" t="s">
        <v>630</v>
      </c>
      <c r="D1262" s="203">
        <v>1</v>
      </c>
      <c r="E1262" s="204" t="s">
        <v>190</v>
      </c>
      <c r="F1262" s="205" t="s">
        <v>208</v>
      </c>
      <c r="G1262" s="206">
        <f>SUM(G1255:G1261)</f>
        <v>355.67</v>
      </c>
      <c r="H1262" s="200" t="s">
        <v>440</v>
      </c>
    </row>
    <row r="1263" spans="1:8" ht="20.25">
      <c r="A1263" s="296">
        <v>11.42</v>
      </c>
      <c r="B1263" s="284" t="s">
        <v>641</v>
      </c>
      <c r="C1263" s="193"/>
      <c r="D1263" s="283" t="s">
        <v>198</v>
      </c>
      <c r="E1263" s="211" t="s">
        <v>198</v>
      </c>
      <c r="F1263" s="252" t="s">
        <v>198</v>
      </c>
      <c r="G1263" s="273" t="s">
        <v>198</v>
      </c>
      <c r="H1263" s="234" t="s">
        <v>198</v>
      </c>
    </row>
    <row r="1264" spans="1:8" ht="20.25">
      <c r="A1264" s="189"/>
      <c r="B1264" s="187" t="s">
        <v>640</v>
      </c>
      <c r="C1264" s="188"/>
      <c r="D1264" s="198" t="s">
        <v>198</v>
      </c>
      <c r="E1264" s="191" t="s">
        <v>198</v>
      </c>
      <c r="F1264" s="195" t="s">
        <v>198</v>
      </c>
      <c r="G1264" s="256" t="s">
        <v>198</v>
      </c>
      <c r="H1264" s="228" t="s">
        <v>198</v>
      </c>
    </row>
    <row r="1265" spans="1:8" ht="19.5">
      <c r="A1265" s="189"/>
      <c r="B1265" s="192"/>
      <c r="C1265" s="188" t="s">
        <v>635</v>
      </c>
      <c r="D1265" s="254">
        <v>1</v>
      </c>
      <c r="E1265" s="191" t="s">
        <v>190</v>
      </c>
      <c r="F1265" s="195">
        <v>78.33</v>
      </c>
      <c r="G1265" s="256">
        <f>D1265*F1265</f>
        <v>78.33</v>
      </c>
      <c r="H1265" s="314" t="s">
        <v>374</v>
      </c>
    </row>
    <row r="1266" spans="1:8" ht="19.5">
      <c r="A1266" s="189"/>
      <c r="B1266" s="192"/>
      <c r="C1266" s="188" t="s">
        <v>436</v>
      </c>
      <c r="D1266" s="254">
        <v>1</v>
      </c>
      <c r="E1266" s="191" t="s">
        <v>190</v>
      </c>
      <c r="F1266" s="252">
        <v>170</v>
      </c>
      <c r="G1266" s="256">
        <f>D1266*F1266</f>
        <v>170</v>
      </c>
      <c r="H1266" s="189"/>
    </row>
    <row r="1267" spans="1:8" ht="19.5">
      <c r="A1267" s="189"/>
      <c r="B1267" s="192"/>
      <c r="C1267" s="188" t="s">
        <v>437</v>
      </c>
      <c r="D1267" s="198">
        <v>0.11</v>
      </c>
      <c r="E1267" s="191" t="s">
        <v>201</v>
      </c>
      <c r="F1267" s="313">
        <v>25</v>
      </c>
      <c r="G1267" s="256">
        <f>D1267*F1267</f>
        <v>2.75</v>
      </c>
      <c r="H1267" s="189"/>
    </row>
    <row r="1268" spans="1:8" ht="19.5">
      <c r="A1268" s="265"/>
      <c r="B1268" s="259"/>
      <c r="C1268" s="188" t="s">
        <v>427</v>
      </c>
      <c r="D1268" s="198">
        <v>2</v>
      </c>
      <c r="E1268" s="191" t="s">
        <v>190</v>
      </c>
      <c r="F1268" s="313">
        <v>5</v>
      </c>
      <c r="G1268" s="256">
        <f>D1268*F1268</f>
        <v>10</v>
      </c>
      <c r="H1268" s="265"/>
    </row>
    <row r="1269" spans="1:8" ht="19.5">
      <c r="A1269" s="265"/>
      <c r="B1269" s="259"/>
      <c r="C1269" s="188" t="s">
        <v>629</v>
      </c>
      <c r="D1269" s="198">
        <v>1</v>
      </c>
      <c r="E1269" s="191" t="s">
        <v>190</v>
      </c>
      <c r="F1269" s="313">
        <v>100</v>
      </c>
      <c r="G1269" s="256">
        <f>D1269*F1269</f>
        <v>100</v>
      </c>
      <c r="H1269" s="265"/>
    </row>
    <row r="1270" spans="1:8" ht="20.25">
      <c r="A1270" s="265"/>
      <c r="B1270" s="259"/>
      <c r="C1270" s="260" t="s">
        <v>630</v>
      </c>
      <c r="D1270" s="261">
        <v>1</v>
      </c>
      <c r="E1270" s="262" t="s">
        <v>190</v>
      </c>
      <c r="F1270" s="263" t="s">
        <v>208</v>
      </c>
      <c r="G1270" s="264">
        <f>SUM(G1263:G1269)</f>
        <v>361.08</v>
      </c>
      <c r="H1270" s="265" t="s">
        <v>440</v>
      </c>
    </row>
    <row r="1271" spans="1:8" ht="20.25">
      <c r="A1271" s="200"/>
      <c r="B1271" s="201"/>
      <c r="C1271" s="202"/>
      <c r="D1271" s="203"/>
      <c r="E1271" s="204"/>
      <c r="F1271" s="205"/>
      <c r="G1271" s="206"/>
      <c r="H1271" s="200"/>
    </row>
    <row r="1272" spans="1:8" ht="21.75">
      <c r="A1272" s="208">
        <v>12</v>
      </c>
      <c r="B1272" s="220" t="s">
        <v>642</v>
      </c>
      <c r="C1272" s="193"/>
      <c r="D1272" s="209"/>
      <c r="E1272" s="209"/>
      <c r="F1272" s="210"/>
      <c r="G1272" s="211" t="s">
        <v>198</v>
      </c>
      <c r="H1272" s="209"/>
    </row>
    <row r="1273" spans="1:8" ht="20.25">
      <c r="A1273" s="208">
        <v>12.1</v>
      </c>
      <c r="B1273" s="187" t="s">
        <v>643</v>
      </c>
      <c r="C1273" s="188"/>
      <c r="D1273" s="198" t="s">
        <v>198</v>
      </c>
      <c r="E1273" s="191" t="s">
        <v>198</v>
      </c>
      <c r="F1273" s="195" t="s">
        <v>198</v>
      </c>
      <c r="G1273" s="256" t="s">
        <v>198</v>
      </c>
      <c r="H1273" s="228" t="s">
        <v>198</v>
      </c>
    </row>
    <row r="1274" spans="1:8" ht="19.5">
      <c r="A1274" s="189"/>
      <c r="B1274" s="192"/>
      <c r="C1274" s="188" t="s">
        <v>644</v>
      </c>
      <c r="D1274" s="198">
        <v>0.2</v>
      </c>
      <c r="E1274" s="191" t="s">
        <v>201</v>
      </c>
      <c r="F1274" s="195">
        <v>10</v>
      </c>
      <c r="G1274" s="256">
        <f>D1274*F1274</f>
        <v>2</v>
      </c>
      <c r="H1274" s="228" t="s">
        <v>198</v>
      </c>
    </row>
    <row r="1275" spans="1:8" ht="19.5">
      <c r="A1275" s="189"/>
      <c r="B1275" s="192"/>
      <c r="C1275" s="188" t="s">
        <v>645</v>
      </c>
      <c r="D1275" s="198">
        <f>1/28</f>
        <v>0.03571428571428571</v>
      </c>
      <c r="E1275" s="191" t="s">
        <v>646</v>
      </c>
      <c r="F1275" s="252">
        <v>307</v>
      </c>
      <c r="G1275" s="256">
        <f>D1275*F1275</f>
        <v>10.964285714285714</v>
      </c>
      <c r="H1275" s="189"/>
    </row>
    <row r="1276" spans="1:8" ht="19.5">
      <c r="A1276" s="189"/>
      <c r="B1276" s="192"/>
      <c r="C1276" s="188" t="s">
        <v>647</v>
      </c>
      <c r="D1276" s="198">
        <f>1/20</f>
        <v>0.05</v>
      </c>
      <c r="E1276" s="191" t="s">
        <v>646</v>
      </c>
      <c r="F1276" s="313">
        <v>437.5</v>
      </c>
      <c r="G1276" s="256">
        <f>D1276*F1276</f>
        <v>21.875</v>
      </c>
      <c r="H1276" s="189"/>
    </row>
    <row r="1277" spans="1:8" ht="19.5">
      <c r="A1277" s="189"/>
      <c r="B1277" s="192"/>
      <c r="C1277" s="188" t="s">
        <v>648</v>
      </c>
      <c r="D1277" s="198">
        <v>1</v>
      </c>
      <c r="E1277" s="191" t="s">
        <v>206</v>
      </c>
      <c r="F1277" s="199">
        <v>0.0144</v>
      </c>
      <c r="G1277" s="256">
        <f>D1277*F1277</f>
        <v>0.0144</v>
      </c>
      <c r="H1277" s="189"/>
    </row>
    <row r="1278" spans="1:8" ht="20.25">
      <c r="A1278" s="200"/>
      <c r="B1278" s="201"/>
      <c r="C1278" s="202" t="s">
        <v>649</v>
      </c>
      <c r="D1278" s="203">
        <v>1</v>
      </c>
      <c r="E1278" s="204" t="s">
        <v>190</v>
      </c>
      <c r="F1278" s="205" t="s">
        <v>208</v>
      </c>
      <c r="G1278" s="206">
        <f>SUM(G1274:G1277)</f>
        <v>34.85368571428572</v>
      </c>
      <c r="H1278" s="207" t="s">
        <v>209</v>
      </c>
    </row>
    <row r="1279" spans="1:8" ht="20.25">
      <c r="A1279" s="208">
        <v>12.2</v>
      </c>
      <c r="B1279" s="187" t="s">
        <v>650</v>
      </c>
      <c r="C1279" s="188"/>
      <c r="D1279" s="198" t="s">
        <v>198</v>
      </c>
      <c r="E1279" s="191" t="s">
        <v>198</v>
      </c>
      <c r="F1279" s="195" t="s">
        <v>198</v>
      </c>
      <c r="G1279" s="256" t="s">
        <v>198</v>
      </c>
      <c r="H1279" s="228" t="s">
        <v>198</v>
      </c>
    </row>
    <row r="1280" spans="1:8" ht="19.5">
      <c r="A1280" s="189"/>
      <c r="B1280" s="192"/>
      <c r="C1280" s="188" t="s">
        <v>644</v>
      </c>
      <c r="D1280" s="198">
        <v>0.2</v>
      </c>
      <c r="E1280" s="191" t="s">
        <v>201</v>
      </c>
      <c r="F1280" s="195">
        <v>10</v>
      </c>
      <c r="G1280" s="256">
        <f>D1280*F1280</f>
        <v>2</v>
      </c>
      <c r="H1280" s="228" t="s">
        <v>198</v>
      </c>
    </row>
    <row r="1281" spans="1:8" ht="19.5">
      <c r="A1281" s="189"/>
      <c r="B1281" s="192"/>
      <c r="C1281" s="188" t="s">
        <v>651</v>
      </c>
      <c r="D1281" s="198">
        <f>1/28</f>
        <v>0.03571428571428571</v>
      </c>
      <c r="E1281" s="191" t="s">
        <v>646</v>
      </c>
      <c r="F1281" s="252">
        <v>307</v>
      </c>
      <c r="G1281" s="256">
        <f>D1281*F1281</f>
        <v>10.964285714285714</v>
      </c>
      <c r="H1281" s="189"/>
    </row>
    <row r="1282" spans="1:8" ht="19.5">
      <c r="A1282" s="189"/>
      <c r="B1282" s="192"/>
      <c r="C1282" s="188" t="s">
        <v>652</v>
      </c>
      <c r="D1282" s="198">
        <f>1/20</f>
        <v>0.05</v>
      </c>
      <c r="E1282" s="191" t="s">
        <v>646</v>
      </c>
      <c r="F1282" s="313">
        <v>358</v>
      </c>
      <c r="G1282" s="256">
        <f>D1282*F1282</f>
        <v>17.900000000000002</v>
      </c>
      <c r="H1282" s="189"/>
    </row>
    <row r="1283" spans="1:8" ht="19.5">
      <c r="A1283" s="189"/>
      <c r="B1283" s="192"/>
      <c r="C1283" s="188" t="s">
        <v>648</v>
      </c>
      <c r="D1283" s="198">
        <v>1</v>
      </c>
      <c r="E1283" s="191" t="s">
        <v>206</v>
      </c>
      <c r="F1283" s="199">
        <v>0.0144</v>
      </c>
      <c r="G1283" s="256">
        <f>D1283*F1283</f>
        <v>0.0144</v>
      </c>
      <c r="H1283" s="189"/>
    </row>
    <row r="1284" spans="1:8" ht="20.25">
      <c r="A1284" s="200"/>
      <c r="B1284" s="201"/>
      <c r="C1284" s="202" t="s">
        <v>653</v>
      </c>
      <c r="D1284" s="203">
        <v>1</v>
      </c>
      <c r="E1284" s="204" t="s">
        <v>190</v>
      </c>
      <c r="F1284" s="205" t="s">
        <v>208</v>
      </c>
      <c r="G1284" s="206">
        <f>SUM(G1280:G1283)+0.93</f>
        <v>31.808685714285712</v>
      </c>
      <c r="H1284" s="207" t="s">
        <v>209</v>
      </c>
    </row>
    <row r="1285" spans="1:8" ht="20.25">
      <c r="A1285" s="208">
        <v>12.3</v>
      </c>
      <c r="B1285" s="187" t="s">
        <v>654</v>
      </c>
      <c r="C1285" s="188"/>
      <c r="D1285" s="198" t="s">
        <v>198</v>
      </c>
      <c r="E1285" s="191" t="s">
        <v>198</v>
      </c>
      <c r="F1285" s="195" t="s">
        <v>198</v>
      </c>
      <c r="G1285" s="256" t="s">
        <v>198</v>
      </c>
      <c r="H1285" s="228" t="s">
        <v>198</v>
      </c>
    </row>
    <row r="1286" spans="1:8" ht="19.5">
      <c r="A1286" s="189"/>
      <c r="B1286" s="192"/>
      <c r="C1286" s="188" t="s">
        <v>644</v>
      </c>
      <c r="D1286" s="198">
        <v>0.2</v>
      </c>
      <c r="E1286" s="191" t="s">
        <v>201</v>
      </c>
      <c r="F1286" s="195">
        <v>10</v>
      </c>
      <c r="G1286" s="256">
        <f>D1286*F1286</f>
        <v>2</v>
      </c>
      <c r="H1286" s="228" t="s">
        <v>198</v>
      </c>
    </row>
    <row r="1287" spans="1:8" ht="19.5">
      <c r="A1287" s="189"/>
      <c r="B1287" s="192"/>
      <c r="C1287" s="188" t="s">
        <v>655</v>
      </c>
      <c r="D1287" s="198">
        <f>1/28</f>
        <v>0.03571428571428571</v>
      </c>
      <c r="E1287" s="191" t="s">
        <v>646</v>
      </c>
      <c r="F1287" s="252">
        <v>308</v>
      </c>
      <c r="G1287" s="256">
        <f>D1287*F1287</f>
        <v>11</v>
      </c>
      <c r="H1287" s="189"/>
    </row>
    <row r="1288" spans="1:8" ht="19.5">
      <c r="A1288" s="189"/>
      <c r="B1288" s="192"/>
      <c r="C1288" s="188" t="s">
        <v>656</v>
      </c>
      <c r="D1288" s="198">
        <f>1/20</f>
        <v>0.05</v>
      </c>
      <c r="E1288" s="191" t="s">
        <v>646</v>
      </c>
      <c r="F1288" s="313">
        <v>465</v>
      </c>
      <c r="G1288" s="256">
        <f>D1288*F1288</f>
        <v>23.25</v>
      </c>
      <c r="H1288" s="189"/>
    </row>
    <row r="1289" spans="1:8" ht="19.5">
      <c r="A1289" s="189"/>
      <c r="B1289" s="192"/>
      <c r="C1289" s="188" t="s">
        <v>657</v>
      </c>
      <c r="D1289" s="198">
        <v>0.01</v>
      </c>
      <c r="E1289" s="191" t="s">
        <v>646</v>
      </c>
      <c r="F1289" s="313">
        <v>220</v>
      </c>
      <c r="G1289" s="256">
        <f>D1289*F1289</f>
        <v>2.2</v>
      </c>
      <c r="H1289" s="189"/>
    </row>
    <row r="1290" spans="1:8" ht="20.25">
      <c r="A1290" s="200"/>
      <c r="B1290" s="201"/>
      <c r="C1290" s="202" t="s">
        <v>658</v>
      </c>
      <c r="D1290" s="203">
        <v>1</v>
      </c>
      <c r="E1290" s="204" t="s">
        <v>190</v>
      </c>
      <c r="F1290" s="205" t="s">
        <v>208</v>
      </c>
      <c r="G1290" s="206">
        <f>SUM(G1286:G1289)</f>
        <v>38.45</v>
      </c>
      <c r="H1290" s="207" t="s">
        <v>209</v>
      </c>
    </row>
    <row r="1291" spans="1:8" ht="20.25">
      <c r="A1291" s="208">
        <v>12.4</v>
      </c>
      <c r="B1291" s="187" t="s">
        <v>659</v>
      </c>
      <c r="C1291" s="188"/>
      <c r="D1291" s="198" t="s">
        <v>198</v>
      </c>
      <c r="E1291" s="191" t="s">
        <v>198</v>
      </c>
      <c r="F1291" s="195" t="s">
        <v>198</v>
      </c>
      <c r="G1291" s="256" t="s">
        <v>198</v>
      </c>
      <c r="H1291" s="228" t="s">
        <v>198</v>
      </c>
    </row>
    <row r="1292" spans="1:8" ht="19.5">
      <c r="A1292" s="189"/>
      <c r="B1292" s="192"/>
      <c r="C1292" s="188" t="s">
        <v>660</v>
      </c>
      <c r="D1292" s="198">
        <v>0.2</v>
      </c>
      <c r="E1292" s="191" t="s">
        <v>201</v>
      </c>
      <c r="F1292" s="195">
        <v>20</v>
      </c>
      <c r="G1292" s="256">
        <f>D1292*F1292</f>
        <v>4</v>
      </c>
      <c r="H1292" s="228" t="s">
        <v>198</v>
      </c>
    </row>
    <row r="1293" spans="1:8" ht="19.5">
      <c r="A1293" s="189"/>
      <c r="B1293" s="192"/>
      <c r="C1293" s="188" t="s">
        <v>661</v>
      </c>
      <c r="D1293" s="198">
        <f>1/28</f>
        <v>0.03571428571428571</v>
      </c>
      <c r="E1293" s="191" t="s">
        <v>646</v>
      </c>
      <c r="F1293" s="252">
        <v>416.5</v>
      </c>
      <c r="G1293" s="256">
        <f>D1293*F1293</f>
        <v>14.875</v>
      </c>
      <c r="H1293" s="189"/>
    </row>
    <row r="1294" spans="1:8" ht="19.5">
      <c r="A1294" s="189"/>
      <c r="B1294" s="192"/>
      <c r="C1294" s="188" t="s">
        <v>662</v>
      </c>
      <c r="D1294" s="198">
        <f>1/18</f>
        <v>0.05555555555555555</v>
      </c>
      <c r="E1294" s="191" t="s">
        <v>646</v>
      </c>
      <c r="F1294" s="313">
        <v>577</v>
      </c>
      <c r="G1294" s="256">
        <f>D1294*F1294</f>
        <v>32.05555555555556</v>
      </c>
      <c r="H1294" s="189"/>
    </row>
    <row r="1295" spans="1:8" ht="19.5">
      <c r="A1295" s="189"/>
      <c r="B1295" s="192"/>
      <c r="C1295" s="188" t="s">
        <v>663</v>
      </c>
      <c r="D1295" s="198">
        <v>0.01</v>
      </c>
      <c r="E1295" s="191" t="s">
        <v>646</v>
      </c>
      <c r="F1295" s="313">
        <v>380</v>
      </c>
      <c r="G1295" s="256">
        <f>D1295*F1295</f>
        <v>3.8000000000000003</v>
      </c>
      <c r="H1295" s="189"/>
    </row>
    <row r="1296" spans="1:8" ht="20.25">
      <c r="A1296" s="200"/>
      <c r="B1296" s="201"/>
      <c r="C1296" s="202" t="s">
        <v>664</v>
      </c>
      <c r="D1296" s="203">
        <v>1</v>
      </c>
      <c r="E1296" s="204" t="s">
        <v>190</v>
      </c>
      <c r="F1296" s="205" t="s">
        <v>208</v>
      </c>
      <c r="G1296" s="206">
        <f>SUM(G1292:G1295)</f>
        <v>54.730555555555554</v>
      </c>
      <c r="H1296" s="207" t="s">
        <v>209</v>
      </c>
    </row>
    <row r="1297" spans="1:8" ht="20.25">
      <c r="A1297" s="208">
        <v>12.5</v>
      </c>
      <c r="B1297" s="187" t="s">
        <v>665</v>
      </c>
      <c r="C1297" s="188"/>
      <c r="D1297" s="198" t="s">
        <v>198</v>
      </c>
      <c r="E1297" s="191" t="s">
        <v>198</v>
      </c>
      <c r="F1297" s="195" t="s">
        <v>198</v>
      </c>
      <c r="G1297" s="256" t="s">
        <v>198</v>
      </c>
      <c r="H1297" s="228" t="s">
        <v>198</v>
      </c>
    </row>
    <row r="1298" spans="1:8" ht="19.5">
      <c r="A1298" s="189"/>
      <c r="B1298" s="192"/>
      <c r="C1298" s="188" t="s">
        <v>661</v>
      </c>
      <c r="D1298" s="198">
        <f>1/28</f>
        <v>0.03571428571428571</v>
      </c>
      <c r="E1298" s="191" t="s">
        <v>646</v>
      </c>
      <c r="F1298" s="252">
        <v>310</v>
      </c>
      <c r="G1298" s="256">
        <f>D1298*F1298</f>
        <v>11.071428571428571</v>
      </c>
      <c r="H1298" s="189"/>
    </row>
    <row r="1299" spans="1:8" ht="19.5">
      <c r="A1299" s="189"/>
      <c r="B1299" s="192"/>
      <c r="C1299" s="188" t="s">
        <v>662</v>
      </c>
      <c r="D1299" s="198">
        <f>1/18</f>
        <v>0.05555555555555555</v>
      </c>
      <c r="E1299" s="191" t="s">
        <v>646</v>
      </c>
      <c r="F1299" s="313">
        <v>385</v>
      </c>
      <c r="G1299" s="256">
        <f>D1299*F1299</f>
        <v>21.38888888888889</v>
      </c>
      <c r="H1299" s="189"/>
    </row>
    <row r="1300" spans="1:8" ht="19.5">
      <c r="A1300" s="189"/>
      <c r="B1300" s="192"/>
      <c r="C1300" s="188" t="s">
        <v>663</v>
      </c>
      <c r="D1300" s="198">
        <v>0.01</v>
      </c>
      <c r="E1300" s="191" t="s">
        <v>646</v>
      </c>
      <c r="F1300" s="313">
        <v>270</v>
      </c>
      <c r="G1300" s="256">
        <f>D1300*F1300</f>
        <v>2.7</v>
      </c>
      <c r="H1300" s="189"/>
    </row>
    <row r="1301" spans="1:8" ht="21" customHeight="1" thickBot="1">
      <c r="A1301" s="336"/>
      <c r="B1301" s="337"/>
      <c r="C1301" s="338" t="s">
        <v>666</v>
      </c>
      <c r="D1301" s="339">
        <v>1</v>
      </c>
      <c r="E1301" s="340" t="s">
        <v>190</v>
      </c>
      <c r="F1301" s="341" t="s">
        <v>208</v>
      </c>
      <c r="G1301" s="342">
        <f>SUM(G1298:G1300)</f>
        <v>35.160317460317465</v>
      </c>
      <c r="H1301" s="343" t="s">
        <v>209</v>
      </c>
    </row>
    <row r="1302" spans="1:8" ht="21" hidden="1" thickBot="1" thickTop="1">
      <c r="A1302" s="344"/>
      <c r="B1302" s="345"/>
      <c r="C1302" s="346" t="s">
        <v>198</v>
      </c>
      <c r="D1302" s="347" t="s">
        <v>198</v>
      </c>
      <c r="E1302" s="348" t="s">
        <v>198</v>
      </c>
      <c r="F1302" s="349" t="s">
        <v>198</v>
      </c>
      <c r="G1302" s="350" t="s">
        <v>198</v>
      </c>
      <c r="H1302" s="344" t="s">
        <v>198</v>
      </c>
    </row>
    <row r="1303" spans="7:8" ht="19.5" customHeight="1" thickTop="1">
      <c r="G1303" s="695"/>
      <c r="H1303" s="695"/>
    </row>
  </sheetData>
  <sheetProtection/>
  <mergeCells count="7">
    <mergeCell ref="G1303:H1303"/>
    <mergeCell ref="A2:H2"/>
    <mergeCell ref="A3:A4"/>
    <mergeCell ref="B3:C4"/>
    <mergeCell ref="D3:D4"/>
    <mergeCell ref="E3:E4"/>
    <mergeCell ref="H3:H4"/>
  </mergeCells>
  <printOptions horizontalCentered="1"/>
  <pageMargins left="0.4724409448818898" right="0.4330708661417323" top="0.7086614173228347" bottom="0.4724409448818898" header="0.4330708661417323" footer="0.1968503937007874"/>
  <pageSetup horizontalDpi="600" verticalDpi="600" orientation="portrait" paperSize="9" scale="83" r:id="rId3"/>
  <headerFooter alignWithMargins="0">
    <oddHeader>&amp;C&amp;"Cordia New,ธรรมดา"&amp;15- &amp;P+155 -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S34"/>
  <sheetViews>
    <sheetView showGridLines="0" showRowColHeaders="0" showOutlineSymbols="0" zoomScalePageLayoutView="0" workbookViewId="0" topLeftCell="A1">
      <selection activeCell="K19" sqref="K19"/>
    </sheetView>
  </sheetViews>
  <sheetFormatPr defaultColWidth="9.140625" defaultRowHeight="12.75"/>
  <cols>
    <col min="1" max="1" width="9.140625" style="65" customWidth="1"/>
    <col min="2" max="2" width="6.00390625" style="65" customWidth="1"/>
    <col min="3" max="10" width="9.140625" style="65" customWidth="1"/>
    <col min="11" max="11" width="3.57421875" style="65" customWidth="1"/>
    <col min="12" max="12" width="12.00390625" style="65" bestFit="1" customWidth="1"/>
    <col min="13" max="16384" width="9.140625" style="65" customWidth="1"/>
  </cols>
  <sheetData>
    <row r="1" spans="1:19" ht="19.5">
      <c r="A1" s="66"/>
      <c r="B1" s="66"/>
      <c r="C1" s="66"/>
      <c r="D1" s="66"/>
      <c r="E1" s="66"/>
      <c r="F1" s="66"/>
      <c r="G1" s="66"/>
      <c r="H1" s="66"/>
      <c r="I1" s="66"/>
      <c r="J1" s="66"/>
      <c r="L1" s="88"/>
      <c r="M1" s="88"/>
      <c r="N1" s="88"/>
      <c r="O1" s="88"/>
      <c r="P1" s="88"/>
      <c r="Q1" s="88"/>
      <c r="R1" s="88"/>
      <c r="S1" s="88"/>
    </row>
    <row r="2" spans="1:19" ht="20.25">
      <c r="A2" s="67" t="s">
        <v>74</v>
      </c>
      <c r="B2" s="68"/>
      <c r="C2" s="66" t="s">
        <v>69</v>
      </c>
      <c r="D2" s="66"/>
      <c r="E2" s="66"/>
      <c r="F2" s="66"/>
      <c r="G2" s="66"/>
      <c r="H2" s="66"/>
      <c r="I2" s="66"/>
      <c r="J2" s="66"/>
      <c r="L2" s="90" t="s">
        <v>129</v>
      </c>
      <c r="M2" s="89" t="s">
        <v>165</v>
      </c>
      <c r="N2" s="89"/>
      <c r="O2" s="89"/>
      <c r="P2" s="89"/>
      <c r="Q2" s="89"/>
      <c r="R2" s="89"/>
      <c r="S2" s="89"/>
    </row>
    <row r="3" spans="1:19" ht="19.5">
      <c r="A3" s="66"/>
      <c r="B3" s="66"/>
      <c r="C3" s="66" t="s">
        <v>85</v>
      </c>
      <c r="D3" s="66"/>
      <c r="E3" s="66"/>
      <c r="F3" s="66"/>
      <c r="G3" s="66"/>
      <c r="H3" s="66"/>
      <c r="I3" s="66"/>
      <c r="J3" s="66"/>
      <c r="L3" s="88"/>
      <c r="M3" s="89" t="s">
        <v>130</v>
      </c>
      <c r="N3" s="89"/>
      <c r="O3" s="89"/>
      <c r="P3" s="89"/>
      <c r="Q3" s="89"/>
      <c r="R3" s="89"/>
      <c r="S3" s="89"/>
    </row>
    <row r="4" spans="1:19" ht="19.5">
      <c r="A4" s="66"/>
      <c r="B4" s="66"/>
      <c r="C4" s="66" t="s">
        <v>70</v>
      </c>
      <c r="D4" s="66"/>
      <c r="E4" s="66"/>
      <c r="F4" s="66"/>
      <c r="G4" s="66"/>
      <c r="H4" s="66"/>
      <c r="I4" s="66"/>
      <c r="J4" s="66"/>
      <c r="L4" s="88"/>
      <c r="M4" s="89" t="s">
        <v>155</v>
      </c>
      <c r="N4" s="89"/>
      <c r="O4" s="89"/>
      <c r="P4" s="89"/>
      <c r="Q4" s="89"/>
      <c r="R4" s="89"/>
      <c r="S4" s="89"/>
    </row>
    <row r="5" spans="1:19" ht="19.5">
      <c r="A5" s="66"/>
      <c r="B5" s="66"/>
      <c r="C5" s="66" t="s">
        <v>71</v>
      </c>
      <c r="D5" s="66"/>
      <c r="E5" s="66"/>
      <c r="F5" s="66"/>
      <c r="G5" s="66"/>
      <c r="H5" s="66"/>
      <c r="I5" s="66"/>
      <c r="J5" s="66"/>
      <c r="L5" s="88"/>
      <c r="M5" s="89" t="s">
        <v>156</v>
      </c>
      <c r="N5" s="89"/>
      <c r="O5" s="89"/>
      <c r="P5" s="89"/>
      <c r="Q5" s="89"/>
      <c r="R5" s="89"/>
      <c r="S5" s="89"/>
    </row>
    <row r="6" spans="1:19" ht="19.5">
      <c r="A6" s="66"/>
      <c r="B6" s="66"/>
      <c r="C6" s="66" t="s">
        <v>83</v>
      </c>
      <c r="D6" s="66"/>
      <c r="E6" s="66"/>
      <c r="F6" s="66"/>
      <c r="G6" s="66"/>
      <c r="H6" s="66"/>
      <c r="I6" s="66"/>
      <c r="J6" s="66"/>
      <c r="L6" s="88"/>
      <c r="M6" s="89" t="s">
        <v>131</v>
      </c>
      <c r="N6" s="89"/>
      <c r="O6" s="89"/>
      <c r="P6" s="89"/>
      <c r="Q6" s="89"/>
      <c r="R6" s="89"/>
      <c r="S6" s="89"/>
    </row>
    <row r="7" spans="1:19" ht="19.5">
      <c r="A7" s="66"/>
      <c r="B7" s="66"/>
      <c r="C7" s="66"/>
      <c r="D7" s="66"/>
      <c r="E7" s="66"/>
      <c r="F7" s="66"/>
      <c r="G7" s="66"/>
      <c r="H7" s="66"/>
      <c r="I7" s="66"/>
      <c r="J7" s="66"/>
      <c r="L7" s="88"/>
      <c r="M7" s="89" t="s">
        <v>132</v>
      </c>
      <c r="N7" s="89"/>
      <c r="O7" s="89"/>
      <c r="P7" s="89"/>
      <c r="Q7" s="89"/>
      <c r="R7" s="89"/>
      <c r="S7" s="89"/>
    </row>
    <row r="8" spans="1:19" ht="19.5">
      <c r="A8" s="66"/>
      <c r="B8" s="66"/>
      <c r="C8" s="69" t="s">
        <v>86</v>
      </c>
      <c r="D8" s="69"/>
      <c r="E8" s="69"/>
      <c r="F8" s="69"/>
      <c r="G8" s="69"/>
      <c r="H8" s="69"/>
      <c r="I8" s="69"/>
      <c r="J8" s="69"/>
      <c r="L8" s="88"/>
      <c r="M8" s="89" t="s">
        <v>133</v>
      </c>
      <c r="N8" s="89"/>
      <c r="O8" s="89"/>
      <c r="P8" s="89"/>
      <c r="Q8" s="89"/>
      <c r="R8" s="89"/>
      <c r="S8" s="89"/>
    </row>
    <row r="9" spans="1:19" ht="19.5">
      <c r="A9" s="66"/>
      <c r="B9" s="66"/>
      <c r="C9" s="69" t="s">
        <v>91</v>
      </c>
      <c r="D9" s="69"/>
      <c r="E9" s="69"/>
      <c r="F9" s="69"/>
      <c r="G9" s="69"/>
      <c r="H9" s="69"/>
      <c r="I9" s="69"/>
      <c r="J9" s="69"/>
      <c r="L9" s="88"/>
      <c r="M9" s="89" t="s">
        <v>134</v>
      </c>
      <c r="N9" s="89"/>
      <c r="O9" s="89"/>
      <c r="P9" s="89"/>
      <c r="Q9" s="89"/>
      <c r="R9" s="89"/>
      <c r="S9" s="89"/>
    </row>
    <row r="10" spans="1:19" ht="19.5">
      <c r="A10" s="66"/>
      <c r="B10" s="66"/>
      <c r="C10" s="69" t="s">
        <v>87</v>
      </c>
      <c r="D10" s="69"/>
      <c r="E10" s="69"/>
      <c r="F10" s="69"/>
      <c r="G10" s="69"/>
      <c r="H10" s="69"/>
      <c r="I10" s="69"/>
      <c r="J10" s="69"/>
      <c r="L10" s="88"/>
      <c r="M10" s="89" t="s">
        <v>111</v>
      </c>
      <c r="N10" s="89" t="s">
        <v>135</v>
      </c>
      <c r="O10" s="89"/>
      <c r="P10" s="89"/>
      <c r="Q10" s="89"/>
      <c r="R10" s="89"/>
      <c r="S10" s="89"/>
    </row>
    <row r="11" spans="1:19" ht="19.5">
      <c r="A11" s="66"/>
      <c r="B11" s="66"/>
      <c r="C11" s="69" t="s">
        <v>88</v>
      </c>
      <c r="D11" s="69"/>
      <c r="E11" s="69"/>
      <c r="F11" s="69"/>
      <c r="G11" s="69"/>
      <c r="H11" s="69"/>
      <c r="I11" s="69"/>
      <c r="J11" s="69"/>
      <c r="L11" s="88"/>
      <c r="M11" s="89"/>
      <c r="N11" s="89" t="s">
        <v>136</v>
      </c>
      <c r="O11" s="89"/>
      <c r="P11" s="89"/>
      <c r="Q11" s="89"/>
      <c r="R11" s="89"/>
      <c r="S11" s="89"/>
    </row>
    <row r="12" spans="1:19" ht="19.5">
      <c r="A12" s="66"/>
      <c r="B12" s="66"/>
      <c r="C12" s="69" t="s">
        <v>92</v>
      </c>
      <c r="D12" s="69"/>
      <c r="E12" s="69"/>
      <c r="F12" s="69"/>
      <c r="G12" s="69"/>
      <c r="H12" s="69"/>
      <c r="I12" s="69"/>
      <c r="J12" s="69"/>
      <c r="L12" s="88"/>
      <c r="M12" s="89" t="s">
        <v>137</v>
      </c>
      <c r="N12" s="89"/>
      <c r="O12" s="89"/>
      <c r="P12" s="89"/>
      <c r="Q12" s="89"/>
      <c r="R12" s="89"/>
      <c r="S12" s="89"/>
    </row>
    <row r="13" spans="1:19" ht="19.5">
      <c r="A13" s="66"/>
      <c r="B13" s="66"/>
      <c r="C13" s="69" t="s">
        <v>89</v>
      </c>
      <c r="D13" s="69"/>
      <c r="E13" s="69"/>
      <c r="F13" s="69"/>
      <c r="G13" s="69"/>
      <c r="H13" s="69"/>
      <c r="I13" s="69"/>
      <c r="J13" s="69"/>
      <c r="L13" s="88"/>
      <c r="M13" s="89" t="s">
        <v>157</v>
      </c>
      <c r="N13" s="89"/>
      <c r="O13" s="89"/>
      <c r="P13" s="89"/>
      <c r="Q13" s="89"/>
      <c r="R13" s="89"/>
      <c r="S13" s="89"/>
    </row>
    <row r="14" spans="1:19" ht="20.25">
      <c r="A14" s="66"/>
      <c r="B14" s="66"/>
      <c r="C14" s="69" t="s">
        <v>90</v>
      </c>
      <c r="D14" s="69"/>
      <c r="E14" s="69"/>
      <c r="F14" s="69"/>
      <c r="G14" s="69"/>
      <c r="H14" s="69"/>
      <c r="I14" s="69"/>
      <c r="J14" s="69"/>
      <c r="L14" s="88"/>
      <c r="M14" s="89" t="s">
        <v>158</v>
      </c>
      <c r="N14" s="89"/>
      <c r="O14" s="89"/>
      <c r="P14" s="89"/>
      <c r="Q14" s="89"/>
      <c r="R14" s="89"/>
      <c r="S14" s="89"/>
    </row>
    <row r="15" spans="1:19" ht="19.5">
      <c r="A15" s="66"/>
      <c r="B15" s="66"/>
      <c r="C15" s="66"/>
      <c r="D15" s="66"/>
      <c r="E15" s="66"/>
      <c r="F15" s="66"/>
      <c r="G15" s="66"/>
      <c r="H15" s="66"/>
      <c r="I15" s="66"/>
      <c r="J15" s="66"/>
      <c r="L15" s="88"/>
      <c r="M15" s="89"/>
      <c r="N15" s="89" t="s">
        <v>138</v>
      </c>
      <c r="O15" s="89"/>
      <c r="P15" s="89"/>
      <c r="Q15" s="89"/>
      <c r="R15" s="89"/>
      <c r="S15" s="89"/>
    </row>
    <row r="16" spans="1:19" ht="19.5">
      <c r="A16" s="66"/>
      <c r="B16" s="66"/>
      <c r="C16" s="66" t="s">
        <v>72</v>
      </c>
      <c r="D16" s="66"/>
      <c r="E16" s="66"/>
      <c r="F16" s="66"/>
      <c r="G16" s="66"/>
      <c r="H16" s="66"/>
      <c r="I16" s="66"/>
      <c r="J16" s="66"/>
      <c r="L16" s="88"/>
      <c r="M16" s="89" t="s">
        <v>159</v>
      </c>
      <c r="N16" s="89"/>
      <c r="O16" s="89"/>
      <c r="P16" s="89"/>
      <c r="Q16" s="89"/>
      <c r="R16" s="89"/>
      <c r="S16" s="89"/>
    </row>
    <row r="17" spans="1:19" ht="19.5">
      <c r="A17" s="66"/>
      <c r="B17" s="66"/>
      <c r="C17" s="66" t="s">
        <v>73</v>
      </c>
      <c r="D17" s="66"/>
      <c r="E17" s="66"/>
      <c r="F17" s="66"/>
      <c r="G17" s="66"/>
      <c r="H17" s="66"/>
      <c r="I17" s="66"/>
      <c r="J17" s="66"/>
      <c r="L17" s="88"/>
      <c r="M17" s="89" t="s">
        <v>160</v>
      </c>
      <c r="N17" s="89"/>
      <c r="O17" s="89"/>
      <c r="P17" s="89"/>
      <c r="Q17" s="89"/>
      <c r="R17" s="89"/>
      <c r="S17" s="89"/>
    </row>
    <row r="18" spans="1:19" ht="19.5">
      <c r="A18" s="66"/>
      <c r="B18" s="66"/>
      <c r="C18" s="66" t="s">
        <v>75</v>
      </c>
      <c r="D18" s="66"/>
      <c r="E18" s="66"/>
      <c r="F18" s="66"/>
      <c r="G18" s="66"/>
      <c r="H18" s="66"/>
      <c r="I18" s="66"/>
      <c r="J18" s="66"/>
      <c r="L18" s="88"/>
      <c r="M18" s="88"/>
      <c r="N18" s="88"/>
      <c r="O18" s="88"/>
      <c r="P18" s="88"/>
      <c r="Q18" s="88"/>
      <c r="R18" s="88"/>
      <c r="S18" s="88"/>
    </row>
    <row r="19" spans="1:19" ht="19.5">
      <c r="A19" s="66"/>
      <c r="B19" s="66"/>
      <c r="C19" s="66" t="s">
        <v>76</v>
      </c>
      <c r="D19" s="66"/>
      <c r="E19" s="66"/>
      <c r="F19" s="66"/>
      <c r="G19" s="66"/>
      <c r="H19" s="66"/>
      <c r="I19" s="66"/>
      <c r="J19" s="66"/>
      <c r="L19" s="88"/>
      <c r="M19" s="89" t="s">
        <v>162</v>
      </c>
      <c r="N19" s="89"/>
      <c r="O19" s="89"/>
      <c r="P19" s="89"/>
      <c r="Q19" s="89"/>
      <c r="R19" s="89"/>
      <c r="S19" s="88"/>
    </row>
    <row r="20" spans="1:19" ht="20.25">
      <c r="A20" s="66"/>
      <c r="B20" s="66"/>
      <c r="C20" s="70" t="s">
        <v>77</v>
      </c>
      <c r="D20" s="66" t="s">
        <v>78</v>
      </c>
      <c r="E20" s="66"/>
      <c r="F20" s="66"/>
      <c r="G20" s="66"/>
      <c r="H20" s="66"/>
      <c r="I20" s="66"/>
      <c r="J20" s="66"/>
      <c r="L20" s="88"/>
      <c r="M20" s="89" t="s">
        <v>161</v>
      </c>
      <c r="N20" s="89"/>
      <c r="O20" s="89"/>
      <c r="P20" s="89"/>
      <c r="Q20" s="89"/>
      <c r="R20" s="89"/>
      <c r="S20" s="88"/>
    </row>
    <row r="21" spans="1:19" ht="19.5">
      <c r="A21" s="66"/>
      <c r="B21" s="66"/>
      <c r="C21" s="66"/>
      <c r="D21" s="66"/>
      <c r="E21" s="66"/>
      <c r="F21" s="66"/>
      <c r="G21" s="66"/>
      <c r="H21" s="66"/>
      <c r="I21" s="66"/>
      <c r="J21" s="66"/>
      <c r="L21" s="88"/>
      <c r="M21" s="89" t="s">
        <v>164</v>
      </c>
      <c r="N21" s="89"/>
      <c r="O21" s="89"/>
      <c r="P21" s="89"/>
      <c r="Q21" s="89"/>
      <c r="R21" s="89"/>
      <c r="S21" s="88"/>
    </row>
    <row r="22" spans="1:19" ht="19.5">
      <c r="A22" s="66"/>
      <c r="B22" s="66"/>
      <c r="C22" s="66" t="s">
        <v>81</v>
      </c>
      <c r="D22" s="66"/>
      <c r="E22" s="66"/>
      <c r="F22" s="66"/>
      <c r="G22" s="66"/>
      <c r="H22" s="66"/>
      <c r="I22" s="66"/>
      <c r="J22" s="66"/>
      <c r="L22" s="88"/>
      <c r="M22" s="89"/>
      <c r="N22" s="89"/>
      <c r="O22" s="89"/>
      <c r="P22" s="88"/>
      <c r="Q22" s="88"/>
      <c r="R22" s="88"/>
      <c r="S22" s="88"/>
    </row>
    <row r="23" spans="1:19" ht="19.5">
      <c r="A23" s="66"/>
      <c r="B23" s="66"/>
      <c r="C23" s="66"/>
      <c r="D23" s="66" t="s">
        <v>79</v>
      </c>
      <c r="E23" s="66"/>
      <c r="F23" s="66"/>
      <c r="G23" s="66"/>
      <c r="H23" s="66"/>
      <c r="I23" s="66"/>
      <c r="J23" s="66"/>
      <c r="L23" s="88"/>
      <c r="M23" s="88"/>
      <c r="N23" s="88"/>
      <c r="O23" s="88"/>
      <c r="P23" s="702" t="s">
        <v>140</v>
      </c>
      <c r="Q23" s="702"/>
      <c r="R23" s="702"/>
      <c r="S23" s="88"/>
    </row>
    <row r="24" spans="1:19" ht="19.5">
      <c r="A24" s="66"/>
      <c r="B24" s="66"/>
      <c r="C24" s="66"/>
      <c r="D24" s="66" t="s">
        <v>80</v>
      </c>
      <c r="E24" s="66"/>
      <c r="F24" s="66"/>
      <c r="G24" s="66"/>
      <c r="H24" s="66"/>
      <c r="I24" s="66"/>
      <c r="J24" s="66"/>
      <c r="L24" s="88"/>
      <c r="M24" s="88"/>
      <c r="N24" s="88"/>
      <c r="O24" s="88"/>
      <c r="P24" s="703" t="s">
        <v>141</v>
      </c>
      <c r="Q24" s="703"/>
      <c r="R24" s="703"/>
      <c r="S24" s="88"/>
    </row>
    <row r="25" spans="1:19" ht="19.5">
      <c r="A25" s="66"/>
      <c r="B25" s="66"/>
      <c r="C25" s="66"/>
      <c r="D25" s="66" t="s">
        <v>94</v>
      </c>
      <c r="E25" s="66"/>
      <c r="F25" s="66"/>
      <c r="G25" s="66"/>
      <c r="H25" s="66"/>
      <c r="I25" s="66"/>
      <c r="J25" s="66"/>
      <c r="L25" s="88"/>
      <c r="M25" s="88"/>
      <c r="N25" s="88"/>
      <c r="O25" s="88"/>
      <c r="P25" s="703" t="s">
        <v>142</v>
      </c>
      <c r="Q25" s="703"/>
      <c r="R25" s="703"/>
      <c r="S25" s="88"/>
    </row>
    <row r="26" spans="1:19" ht="20.25">
      <c r="A26" s="66"/>
      <c r="B26" s="66"/>
      <c r="C26" s="66"/>
      <c r="D26" s="66" t="s">
        <v>154</v>
      </c>
      <c r="E26" s="66"/>
      <c r="F26" s="66"/>
      <c r="G26" s="66"/>
      <c r="H26" s="66"/>
      <c r="I26" s="66"/>
      <c r="J26" s="66"/>
      <c r="L26" s="88"/>
      <c r="M26" s="88"/>
      <c r="N26" s="88"/>
      <c r="O26" s="88"/>
      <c r="P26" s="88"/>
      <c r="Q26" s="88"/>
      <c r="R26" s="88"/>
      <c r="S26" s="88"/>
    </row>
    <row r="27" spans="1:19" ht="20.25">
      <c r="A27" s="66"/>
      <c r="B27" s="66"/>
      <c r="C27" s="66"/>
      <c r="D27" s="66" t="s">
        <v>82</v>
      </c>
      <c r="E27" s="66"/>
      <c r="F27" s="66"/>
      <c r="G27" s="66"/>
      <c r="H27" s="66"/>
      <c r="I27" s="66"/>
      <c r="J27" s="66"/>
      <c r="L27" s="88"/>
      <c r="M27" s="88"/>
      <c r="N27" s="88"/>
      <c r="O27" s="88"/>
      <c r="P27" s="88"/>
      <c r="Q27" s="88"/>
      <c r="R27" s="88"/>
      <c r="S27" s="88"/>
    </row>
    <row r="28" spans="1:19" ht="20.25">
      <c r="A28" s="66"/>
      <c r="B28" s="66"/>
      <c r="C28" s="66"/>
      <c r="D28" s="66"/>
      <c r="E28" s="66"/>
      <c r="F28" s="66"/>
      <c r="G28" s="66"/>
      <c r="H28" s="66"/>
      <c r="I28" s="66"/>
      <c r="J28" s="66"/>
      <c r="L28" s="88"/>
      <c r="M28" s="88"/>
      <c r="N28" s="88"/>
      <c r="O28" s="88"/>
      <c r="P28" s="88"/>
      <c r="Q28" s="88"/>
      <c r="R28" s="88"/>
      <c r="S28" s="88"/>
    </row>
    <row r="29" spans="1:19" ht="19.5">
      <c r="A29" s="66"/>
      <c r="B29" s="66"/>
      <c r="C29" s="66"/>
      <c r="D29" s="66"/>
      <c r="E29" s="66" t="s">
        <v>93</v>
      </c>
      <c r="F29" s="66"/>
      <c r="G29" s="66"/>
      <c r="H29" s="66"/>
      <c r="I29" s="66"/>
      <c r="J29" s="66"/>
      <c r="L29" s="705" t="s">
        <v>29</v>
      </c>
      <c r="M29" s="705"/>
      <c r="N29" s="705"/>
      <c r="O29" s="705"/>
      <c r="P29" s="705"/>
      <c r="Q29" s="88"/>
      <c r="R29" s="88"/>
      <c r="S29" s="88"/>
    </row>
    <row r="30" spans="1:19" ht="19.5">
      <c r="A30" s="66"/>
      <c r="B30" s="66"/>
      <c r="C30" s="66"/>
      <c r="D30" s="66"/>
      <c r="E30" s="66"/>
      <c r="F30" s="66"/>
      <c r="G30" s="66"/>
      <c r="H30" s="66"/>
      <c r="I30" s="66"/>
      <c r="J30" s="66"/>
      <c r="L30" s="705" t="s">
        <v>163</v>
      </c>
      <c r="M30" s="705"/>
      <c r="N30" s="705"/>
      <c r="O30" s="705"/>
      <c r="P30" s="705"/>
      <c r="Q30" s="88"/>
      <c r="R30" s="88"/>
      <c r="S30" s="88"/>
    </row>
    <row r="31" spans="1:19" ht="19.5">
      <c r="A31" s="66"/>
      <c r="B31" s="66"/>
      <c r="C31" s="66"/>
      <c r="D31" s="66"/>
      <c r="E31" s="66"/>
      <c r="F31" s="66"/>
      <c r="G31" s="66"/>
      <c r="H31" s="66"/>
      <c r="I31" s="66"/>
      <c r="J31" s="66"/>
      <c r="L31" s="88"/>
      <c r="M31" s="88"/>
      <c r="N31" s="88"/>
      <c r="O31" s="88"/>
      <c r="P31" s="88"/>
      <c r="Q31" s="88"/>
      <c r="R31" s="88"/>
      <c r="S31" s="88"/>
    </row>
    <row r="32" spans="1:19" ht="19.5">
      <c r="A32" s="66"/>
      <c r="B32" s="66"/>
      <c r="C32" s="66"/>
      <c r="D32" s="66"/>
      <c r="E32" s="66"/>
      <c r="F32" s="66"/>
      <c r="G32" s="66"/>
      <c r="H32" s="66"/>
      <c r="I32" s="66"/>
      <c r="J32" s="66"/>
      <c r="L32" s="88"/>
      <c r="M32" s="88"/>
      <c r="N32" s="88"/>
      <c r="O32" s="88"/>
      <c r="P32" s="88"/>
      <c r="Q32" s="88"/>
      <c r="R32" s="88"/>
      <c r="S32" s="88"/>
    </row>
    <row r="33" spans="1:19" ht="19.5">
      <c r="A33" s="704" t="s">
        <v>84</v>
      </c>
      <c r="B33" s="704"/>
      <c r="C33" s="704"/>
      <c r="D33" s="704"/>
      <c r="E33" s="704"/>
      <c r="F33" s="704"/>
      <c r="G33" s="704"/>
      <c r="H33" s="704"/>
      <c r="I33" s="704"/>
      <c r="J33" s="704"/>
      <c r="L33" s="88"/>
      <c r="M33" s="88"/>
      <c r="N33" s="88"/>
      <c r="O33" s="88"/>
      <c r="P33" s="88"/>
      <c r="Q33" s="88"/>
      <c r="R33" s="88"/>
      <c r="S33" s="88"/>
    </row>
    <row r="34" spans="1:19" ht="19.5">
      <c r="A34" s="66"/>
      <c r="B34" s="66"/>
      <c r="C34" s="66"/>
      <c r="D34" s="66"/>
      <c r="E34" s="66"/>
      <c r="F34" s="66"/>
      <c r="G34" s="66"/>
      <c r="H34" s="66"/>
      <c r="I34" s="66"/>
      <c r="J34" s="66"/>
      <c r="L34" s="88"/>
      <c r="M34" s="88"/>
      <c r="N34" s="88"/>
      <c r="O34" s="88"/>
      <c r="P34" s="88"/>
      <c r="Q34" s="88"/>
      <c r="R34" s="88"/>
      <c r="S34" s="147" t="s">
        <v>143</v>
      </c>
    </row>
  </sheetData>
  <sheetProtection password="A3B0" sheet="1" objects="1" scenarios="1"/>
  <mergeCells count="6">
    <mergeCell ref="P23:R23"/>
    <mergeCell ref="P24:R24"/>
    <mergeCell ref="A33:J33"/>
    <mergeCell ref="P25:R25"/>
    <mergeCell ref="L30:P30"/>
    <mergeCell ref="L29:P29"/>
  </mergeCells>
  <hyperlinks>
    <hyperlink ref="L29" r:id="rId1" display="www.yotathai.net"/>
    <hyperlink ref="L30" r:id="rId2" display="http://www.facebook.com/yotathai.net"/>
  </hyperlink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B1:V41"/>
  <sheetViews>
    <sheetView showGridLines="0" showRowColHeaders="0" showOutlineSymbols="0" zoomScalePageLayoutView="0" workbookViewId="0" topLeftCell="A1">
      <selection activeCell="O11" sqref="O11"/>
    </sheetView>
  </sheetViews>
  <sheetFormatPr defaultColWidth="9.140625" defaultRowHeight="12.75"/>
  <cols>
    <col min="1" max="2" width="9.140625" style="3" customWidth="1"/>
    <col min="3" max="3" width="3.7109375" style="3" customWidth="1"/>
    <col min="4" max="4" width="12.7109375" style="3" customWidth="1"/>
    <col min="5" max="5" width="12.7109375" style="6" customWidth="1"/>
    <col min="6" max="10" width="10.8515625" style="3" hidden="1" customWidth="1"/>
    <col min="11" max="13" width="12.7109375" style="6" customWidth="1"/>
    <col min="14" max="15" width="12.7109375" style="3" customWidth="1"/>
    <col min="16" max="16" width="13.57421875" style="3" customWidth="1"/>
    <col min="17" max="17" width="4.28125" style="3" customWidth="1"/>
    <col min="18" max="18" width="9.140625" style="16" hidden="1" customWidth="1"/>
    <col min="19" max="19" width="13.57421875" style="16" hidden="1" customWidth="1"/>
    <col min="20" max="20" width="14.140625" style="17" hidden="1" customWidth="1"/>
    <col min="21" max="21" width="11.421875" style="16" hidden="1" customWidth="1"/>
    <col min="22" max="22" width="9.140625" style="16" customWidth="1"/>
    <col min="23" max="16384" width="9.140625" style="3" customWidth="1"/>
  </cols>
  <sheetData>
    <row r="1" spans="4:16" ht="16.5" customHeight="1" thickBot="1">
      <c r="D1" s="63"/>
      <c r="P1" s="64" t="s">
        <v>139</v>
      </c>
    </row>
    <row r="2" spans="2:16" ht="23.25">
      <c r="B2" s="150"/>
      <c r="C2" s="150"/>
      <c r="D2" s="9"/>
      <c r="E2" s="9"/>
      <c r="F2" s="10"/>
      <c r="G2" s="10"/>
      <c r="H2" s="10"/>
      <c r="I2" s="10"/>
      <c r="J2" s="10"/>
      <c r="K2" s="709" t="s">
        <v>25</v>
      </c>
      <c r="L2" s="709"/>
      <c r="M2" s="709"/>
      <c r="N2" s="709"/>
      <c r="O2" s="709"/>
      <c r="P2" s="709"/>
    </row>
    <row r="3" spans="2:16" ht="8.25" customHeight="1">
      <c r="B3" s="150"/>
      <c r="C3" s="150"/>
      <c r="D3" s="9"/>
      <c r="E3" s="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21" ht="20.25">
      <c r="B4" s="150"/>
      <c r="C4" s="150"/>
      <c r="D4" s="1"/>
      <c r="E4" s="2"/>
      <c r="F4" s="7"/>
      <c r="G4" s="7"/>
      <c r="H4" s="7"/>
      <c r="I4" s="7"/>
      <c r="J4" s="7"/>
      <c r="K4" s="72"/>
      <c r="L4" s="708" t="s">
        <v>4</v>
      </c>
      <c r="M4" s="708"/>
      <c r="N4" s="706">
        <f>'ปร.5 (ก)'!K23</f>
        <v>77474.85999999999</v>
      </c>
      <c r="O4" s="706"/>
      <c r="P4" s="149" t="s">
        <v>5</v>
      </c>
      <c r="S4" s="18"/>
      <c r="T4" s="19"/>
      <c r="U4" s="18"/>
    </row>
    <row r="5" spans="2:21" ht="20.25">
      <c r="B5" s="150"/>
      <c r="C5" s="150"/>
      <c r="D5" s="1"/>
      <c r="E5" s="115"/>
      <c r="F5" s="15"/>
      <c r="G5" s="15"/>
      <c r="H5" s="15"/>
      <c r="I5" s="15"/>
      <c r="J5" s="15"/>
      <c r="K5" s="15"/>
      <c r="L5" s="708" t="s">
        <v>13</v>
      </c>
      <c r="M5" s="708"/>
      <c r="N5" s="707">
        <f>IF(N4=0,0,IF(N4&lt;=1000000,P16,IF(N4=500000000,P38,IF(N4&gt;500000000,P39,U11))))</f>
        <v>1.2726</v>
      </c>
      <c r="O5" s="707"/>
      <c r="P5" s="149"/>
      <c r="S5" s="18"/>
      <c r="T5" s="19"/>
      <c r="U5" s="18" t="s">
        <v>11</v>
      </c>
    </row>
    <row r="6" spans="2:21" ht="21" customHeight="1">
      <c r="B6" s="150"/>
      <c r="C6" s="150"/>
      <c r="D6" s="710" t="s">
        <v>29</v>
      </c>
      <c r="E6" s="711"/>
      <c r="F6" s="8"/>
      <c r="G6" s="8"/>
      <c r="H6" s="8"/>
      <c r="I6" s="8"/>
      <c r="J6" s="8"/>
      <c r="K6" s="8"/>
      <c r="L6" s="72" t="s">
        <v>28</v>
      </c>
      <c r="M6" s="72"/>
      <c r="N6" s="712">
        <f>ROUND((N5*N4),2)</f>
        <v>98594.51</v>
      </c>
      <c r="O6" s="712"/>
      <c r="P6" s="149" t="s">
        <v>5</v>
      </c>
      <c r="S6" s="18" t="s">
        <v>6</v>
      </c>
      <c r="T6" s="20">
        <f>N4/1000000</f>
        <v>0.07747485999999999</v>
      </c>
      <c r="U6" s="18"/>
    </row>
    <row r="7" spans="2:21" ht="9" customHeight="1" thickBot="1">
      <c r="B7" s="150"/>
      <c r="C7" s="150"/>
      <c r="D7" s="1"/>
      <c r="E7" s="2"/>
      <c r="F7" s="12"/>
      <c r="G7" s="12"/>
      <c r="H7" s="12"/>
      <c r="I7" s="12"/>
      <c r="J7" s="12"/>
      <c r="K7" s="72"/>
      <c r="L7" s="72"/>
      <c r="M7" s="72"/>
      <c r="N7" s="114"/>
      <c r="O7" s="114"/>
      <c r="P7" s="7"/>
      <c r="S7" s="18" t="s">
        <v>7</v>
      </c>
      <c r="T7" s="19" t="e">
        <f>VLOOKUP(T6,D17:D38,1)</f>
        <v>#N/A</v>
      </c>
      <c r="U7" s="18" t="e">
        <f>VLOOKUP(T7,$D$17:$P$38,13,FALSE)</f>
        <v>#N/A</v>
      </c>
    </row>
    <row r="8" spans="2:21" ht="9.75" customHeight="1" hidden="1">
      <c r="B8" s="150"/>
      <c r="C8" s="150"/>
      <c r="D8" s="713"/>
      <c r="E8" s="713"/>
      <c r="F8" s="714"/>
      <c r="G8" s="714"/>
      <c r="H8" s="714"/>
      <c r="I8" s="714"/>
      <c r="J8" s="714"/>
      <c r="K8" s="713"/>
      <c r="L8" s="713"/>
      <c r="M8" s="713"/>
      <c r="N8" s="713"/>
      <c r="O8" s="713"/>
      <c r="P8" s="713"/>
      <c r="S8" s="18" t="s">
        <v>9</v>
      </c>
      <c r="T8" s="21" t="e">
        <f>MATCH(T7,D17:D38)</f>
        <v>#N/A</v>
      </c>
      <c r="U8" s="18"/>
    </row>
    <row r="9" spans="2:22" s="4" customFormat="1" ht="22.5" customHeight="1">
      <c r="B9" s="151"/>
      <c r="C9" s="151"/>
      <c r="D9" s="709" t="s">
        <v>122</v>
      </c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709"/>
      <c r="P9" s="709"/>
      <c r="R9" s="22"/>
      <c r="S9" s="23" t="s">
        <v>10</v>
      </c>
      <c r="T9" s="21" t="e">
        <f>T8+1</f>
        <v>#N/A</v>
      </c>
      <c r="U9" s="23"/>
      <c r="V9" s="22"/>
    </row>
    <row r="10" spans="2:21" ht="4.5" customHeight="1">
      <c r="B10" s="150"/>
      <c r="C10" s="15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"/>
      <c r="S10" s="18" t="s">
        <v>8</v>
      </c>
      <c r="T10" s="21" t="e">
        <f>INDEX(D17:D38,T9)</f>
        <v>#N/A</v>
      </c>
      <c r="U10" s="18" t="e">
        <f>VLOOKUP(T10,$D$17:$P$38,13,FALSE)</f>
        <v>#N/A</v>
      </c>
    </row>
    <row r="11" spans="2:21" ht="19.5">
      <c r="B11" s="150"/>
      <c r="C11" s="150"/>
      <c r="D11" s="1" t="s">
        <v>26</v>
      </c>
      <c r="E11" s="2"/>
      <c r="F11" s="1"/>
      <c r="G11" s="1"/>
      <c r="H11" s="1"/>
      <c r="I11" s="1"/>
      <c r="J11" s="1"/>
      <c r="K11" s="84">
        <v>0</v>
      </c>
      <c r="L11" s="2" t="s">
        <v>2</v>
      </c>
      <c r="M11" s="2" t="s">
        <v>0</v>
      </c>
      <c r="N11" s="1"/>
      <c r="O11" s="86">
        <v>7</v>
      </c>
      <c r="P11" s="1" t="s">
        <v>2</v>
      </c>
      <c r="S11" s="18" t="s">
        <v>12</v>
      </c>
      <c r="T11" s="21"/>
      <c r="U11" s="18" t="e">
        <f>ROUND((U7-((U7-U10)*(T6-T7)/(T10-T7))),4)</f>
        <v>#N/A</v>
      </c>
    </row>
    <row r="12" spans="2:21" ht="19.5">
      <c r="B12" s="150"/>
      <c r="C12" s="150"/>
      <c r="D12" s="1" t="s">
        <v>27</v>
      </c>
      <c r="E12" s="2"/>
      <c r="F12" s="1"/>
      <c r="G12" s="1"/>
      <c r="H12" s="1"/>
      <c r="I12" s="1"/>
      <c r="J12" s="1"/>
      <c r="K12" s="83">
        <v>0</v>
      </c>
      <c r="L12" s="2" t="s">
        <v>2</v>
      </c>
      <c r="M12" s="2" t="s">
        <v>3</v>
      </c>
      <c r="N12" s="1"/>
      <c r="O12" s="85">
        <v>7</v>
      </c>
      <c r="P12" s="1" t="s">
        <v>2</v>
      </c>
      <c r="S12" s="18">
        <v>0</v>
      </c>
      <c r="T12" s="24">
        <v>5</v>
      </c>
      <c r="U12" s="18">
        <v>7</v>
      </c>
    </row>
    <row r="13" spans="2:21" ht="4.5" customHeight="1" thickBot="1">
      <c r="B13" s="150"/>
      <c r="C13" s="150"/>
      <c r="D13" s="14"/>
      <c r="E13" s="13"/>
      <c r="F13" s="14"/>
      <c r="G13" s="14"/>
      <c r="H13" s="14"/>
      <c r="I13" s="14"/>
      <c r="J13" s="14"/>
      <c r="K13" s="13"/>
      <c r="L13" s="13"/>
      <c r="M13" s="13"/>
      <c r="N13" s="14"/>
      <c r="O13" s="13"/>
      <c r="P13" s="14"/>
      <c r="S13" s="18">
        <v>5</v>
      </c>
      <c r="T13" s="24">
        <v>6</v>
      </c>
      <c r="U13" s="18">
        <v>10</v>
      </c>
    </row>
    <row r="14" spans="4:21" ht="20.25">
      <c r="D14" s="715" t="s">
        <v>149</v>
      </c>
      <c r="E14" s="717" t="s">
        <v>30</v>
      </c>
      <c r="F14" s="718"/>
      <c r="G14" s="718"/>
      <c r="H14" s="718"/>
      <c r="I14" s="718"/>
      <c r="J14" s="718"/>
      <c r="K14" s="718"/>
      <c r="L14" s="718"/>
      <c r="M14" s="718"/>
      <c r="N14" s="717" t="s">
        <v>14</v>
      </c>
      <c r="O14" s="717" t="s">
        <v>15</v>
      </c>
      <c r="P14" s="720" t="s">
        <v>1</v>
      </c>
      <c r="S14" s="18">
        <v>10</v>
      </c>
      <c r="T14" s="25">
        <v>7</v>
      </c>
      <c r="U14" s="18"/>
    </row>
    <row r="15" spans="4:21" ht="41.25" customHeight="1" thickBot="1">
      <c r="D15" s="716"/>
      <c r="E15" s="91" t="s">
        <v>16</v>
      </c>
      <c r="F15" s="92" t="s">
        <v>17</v>
      </c>
      <c r="G15" s="92" t="s">
        <v>18</v>
      </c>
      <c r="H15" s="92" t="s">
        <v>19</v>
      </c>
      <c r="I15" s="92" t="s">
        <v>20</v>
      </c>
      <c r="J15" s="92" t="s">
        <v>21</v>
      </c>
      <c r="K15" s="91" t="s">
        <v>22</v>
      </c>
      <c r="L15" s="91" t="s">
        <v>23</v>
      </c>
      <c r="M15" s="91" t="s">
        <v>24</v>
      </c>
      <c r="N15" s="719"/>
      <c r="O15" s="719"/>
      <c r="P15" s="721"/>
      <c r="S15" s="18">
        <v>15</v>
      </c>
      <c r="T15" s="25">
        <v>8</v>
      </c>
      <c r="U15" s="18"/>
    </row>
    <row r="16" spans="4:21" ht="19.5">
      <c r="D16" s="93" t="s">
        <v>144</v>
      </c>
      <c r="E16" s="94">
        <v>12.266</v>
      </c>
      <c r="F16" s="95">
        <v>6</v>
      </c>
      <c r="G16" s="95">
        <v>3</v>
      </c>
      <c r="H16" s="96">
        <f>$K$11</f>
        <v>0</v>
      </c>
      <c r="I16" s="96">
        <f>$K$12</f>
        <v>0</v>
      </c>
      <c r="J16" s="97">
        <f>$O$11</f>
        <v>7</v>
      </c>
      <c r="K16" s="94">
        <f>(-1)*(J16/12)*((I16/100)+((F16+G16-1)*(H16/100))-(((H16+I16)/100)*((F16+1)/2))-(G16-1))</f>
        <v>1.1666666666666667</v>
      </c>
      <c r="L16" s="94">
        <v>5.5</v>
      </c>
      <c r="M16" s="94">
        <f>E16+K16+L16</f>
        <v>18.932666666666666</v>
      </c>
      <c r="N16" s="98">
        <f>1+(M16/100)</f>
        <v>1.1893266666666666</v>
      </c>
      <c r="O16" s="94">
        <f>1+($O$12/100)</f>
        <v>1.07</v>
      </c>
      <c r="P16" s="99">
        <f>ROUND(N16*O16,4)</f>
        <v>1.2726</v>
      </c>
      <c r="S16" s="18"/>
      <c r="T16" s="24">
        <v>9</v>
      </c>
      <c r="U16" s="18"/>
    </row>
    <row r="17" spans="4:21" ht="19.5">
      <c r="D17" s="100">
        <v>1</v>
      </c>
      <c r="E17" s="101">
        <v>12.266</v>
      </c>
      <c r="F17" s="102">
        <v>6</v>
      </c>
      <c r="G17" s="102">
        <v>3</v>
      </c>
      <c r="H17" s="103">
        <f aca="true" t="shared" si="0" ref="H17:H39">$K$11</f>
        <v>0</v>
      </c>
      <c r="I17" s="103">
        <f aca="true" t="shared" si="1" ref="I17:I39">$K$12</f>
        <v>0</v>
      </c>
      <c r="J17" s="104">
        <f aca="true" t="shared" si="2" ref="J17:J39">$O$11</f>
        <v>7</v>
      </c>
      <c r="K17" s="101">
        <f aca="true" t="shared" si="3" ref="K17:K39">(-1)*(J17/12)*((I17/100)+((F17+G17-1)*(H17/100))-(((H17+I17)/100)*((F17+1)/2))-(G17-1))</f>
        <v>1.1666666666666667</v>
      </c>
      <c r="L17" s="101">
        <v>5.5</v>
      </c>
      <c r="M17" s="101">
        <f aca="true" t="shared" si="4" ref="M17:M39">E17+K17+L17</f>
        <v>18.932666666666666</v>
      </c>
      <c r="N17" s="105">
        <f aca="true" t="shared" si="5" ref="N17:N39">1+(M17/100)</f>
        <v>1.1893266666666666</v>
      </c>
      <c r="O17" s="101">
        <f aca="true" t="shared" si="6" ref="O17:O39">1+($O$12/100)</f>
        <v>1.07</v>
      </c>
      <c r="P17" s="106">
        <f aca="true" t="shared" si="7" ref="P17:P39">ROUND(N17*O17,4)</f>
        <v>1.2726</v>
      </c>
      <c r="S17" s="18"/>
      <c r="T17" s="24">
        <v>10</v>
      </c>
      <c r="U17" s="18"/>
    </row>
    <row r="18" spans="4:16" ht="19.5">
      <c r="D18" s="100">
        <v>2</v>
      </c>
      <c r="E18" s="101">
        <v>12.0383</v>
      </c>
      <c r="F18" s="102">
        <v>9</v>
      </c>
      <c r="G18" s="102">
        <v>3</v>
      </c>
      <c r="H18" s="103">
        <f t="shared" si="0"/>
        <v>0</v>
      </c>
      <c r="I18" s="103">
        <f t="shared" si="1"/>
        <v>0</v>
      </c>
      <c r="J18" s="104">
        <f t="shared" si="2"/>
        <v>7</v>
      </c>
      <c r="K18" s="101">
        <f t="shared" si="3"/>
        <v>1.1666666666666667</v>
      </c>
      <c r="L18" s="101">
        <v>5.5</v>
      </c>
      <c r="M18" s="101">
        <f t="shared" si="4"/>
        <v>18.704966666666664</v>
      </c>
      <c r="N18" s="105">
        <f t="shared" si="5"/>
        <v>1.1870496666666666</v>
      </c>
      <c r="O18" s="101">
        <f t="shared" si="6"/>
        <v>1.07</v>
      </c>
      <c r="P18" s="106">
        <f t="shared" si="7"/>
        <v>1.2701</v>
      </c>
    </row>
    <row r="19" spans="4:16" ht="19.5">
      <c r="D19" s="100">
        <v>5</v>
      </c>
      <c r="E19" s="101">
        <v>11.94</v>
      </c>
      <c r="F19" s="102">
        <v>12</v>
      </c>
      <c r="G19" s="102">
        <v>3</v>
      </c>
      <c r="H19" s="103">
        <f t="shared" si="0"/>
        <v>0</v>
      </c>
      <c r="I19" s="103">
        <f t="shared" si="1"/>
        <v>0</v>
      </c>
      <c r="J19" s="104">
        <f t="shared" si="2"/>
        <v>7</v>
      </c>
      <c r="K19" s="101">
        <f t="shared" si="3"/>
        <v>1.1666666666666667</v>
      </c>
      <c r="L19" s="101">
        <v>5.5</v>
      </c>
      <c r="M19" s="101">
        <f t="shared" si="4"/>
        <v>18.606666666666666</v>
      </c>
      <c r="N19" s="105">
        <f t="shared" si="5"/>
        <v>1.1860666666666666</v>
      </c>
      <c r="O19" s="101">
        <f t="shared" si="6"/>
        <v>1.07</v>
      </c>
      <c r="P19" s="106">
        <f t="shared" si="7"/>
        <v>1.2691</v>
      </c>
    </row>
    <row r="20" spans="4:16" ht="19.5">
      <c r="D20" s="100">
        <v>10</v>
      </c>
      <c r="E20" s="101">
        <v>11.7523</v>
      </c>
      <c r="F20" s="102">
        <v>15</v>
      </c>
      <c r="G20" s="102">
        <v>3</v>
      </c>
      <c r="H20" s="103">
        <f t="shared" si="0"/>
        <v>0</v>
      </c>
      <c r="I20" s="103">
        <f t="shared" si="1"/>
        <v>0</v>
      </c>
      <c r="J20" s="104">
        <f t="shared" si="2"/>
        <v>7</v>
      </c>
      <c r="K20" s="101">
        <f t="shared" si="3"/>
        <v>1.1666666666666667</v>
      </c>
      <c r="L20" s="101">
        <v>5</v>
      </c>
      <c r="M20" s="101">
        <f t="shared" si="4"/>
        <v>17.918966666666666</v>
      </c>
      <c r="N20" s="105">
        <f t="shared" si="5"/>
        <v>1.1791896666666666</v>
      </c>
      <c r="O20" s="101">
        <f t="shared" si="6"/>
        <v>1.07</v>
      </c>
      <c r="P20" s="106">
        <f t="shared" si="7"/>
        <v>1.2617</v>
      </c>
    </row>
    <row r="21" spans="4:16" ht="19.5">
      <c r="D21" s="100">
        <v>15</v>
      </c>
      <c r="E21" s="101">
        <v>8.1313</v>
      </c>
      <c r="F21" s="102">
        <v>15</v>
      </c>
      <c r="G21" s="102">
        <v>3</v>
      </c>
      <c r="H21" s="103">
        <f t="shared" si="0"/>
        <v>0</v>
      </c>
      <c r="I21" s="103">
        <f t="shared" si="1"/>
        <v>0</v>
      </c>
      <c r="J21" s="104">
        <f t="shared" si="2"/>
        <v>7</v>
      </c>
      <c r="K21" s="101">
        <f t="shared" si="3"/>
        <v>1.1666666666666667</v>
      </c>
      <c r="L21" s="101">
        <v>5</v>
      </c>
      <c r="M21" s="101">
        <f t="shared" si="4"/>
        <v>14.297966666666666</v>
      </c>
      <c r="N21" s="105">
        <f t="shared" si="5"/>
        <v>1.1429796666666667</v>
      </c>
      <c r="O21" s="101">
        <f t="shared" si="6"/>
        <v>1.07</v>
      </c>
      <c r="P21" s="106">
        <f t="shared" si="7"/>
        <v>1.223</v>
      </c>
    </row>
    <row r="22" spans="4:16" ht="19.5">
      <c r="D22" s="100">
        <v>20</v>
      </c>
      <c r="E22" s="101">
        <v>8.1223</v>
      </c>
      <c r="F22" s="102">
        <v>16</v>
      </c>
      <c r="G22" s="102">
        <v>3</v>
      </c>
      <c r="H22" s="103">
        <f t="shared" si="0"/>
        <v>0</v>
      </c>
      <c r="I22" s="103">
        <f t="shared" si="1"/>
        <v>0</v>
      </c>
      <c r="J22" s="104">
        <f t="shared" si="2"/>
        <v>7</v>
      </c>
      <c r="K22" s="101">
        <f t="shared" si="3"/>
        <v>1.1666666666666667</v>
      </c>
      <c r="L22" s="101">
        <v>5</v>
      </c>
      <c r="M22" s="101">
        <f t="shared" si="4"/>
        <v>14.288966666666665</v>
      </c>
      <c r="N22" s="105">
        <f t="shared" si="5"/>
        <v>1.1428896666666666</v>
      </c>
      <c r="O22" s="101">
        <f t="shared" si="6"/>
        <v>1.07</v>
      </c>
      <c r="P22" s="106">
        <f t="shared" si="7"/>
        <v>1.2229</v>
      </c>
    </row>
    <row r="23" spans="4:16" ht="19.5">
      <c r="D23" s="100">
        <v>25</v>
      </c>
      <c r="E23" s="101">
        <v>8.1006</v>
      </c>
      <c r="F23" s="102">
        <v>16</v>
      </c>
      <c r="G23" s="102">
        <v>3</v>
      </c>
      <c r="H23" s="103">
        <f t="shared" si="0"/>
        <v>0</v>
      </c>
      <c r="I23" s="103">
        <f t="shared" si="1"/>
        <v>0</v>
      </c>
      <c r="J23" s="104">
        <f t="shared" si="2"/>
        <v>7</v>
      </c>
      <c r="K23" s="101">
        <f t="shared" si="3"/>
        <v>1.1666666666666667</v>
      </c>
      <c r="L23" s="101">
        <v>4.5</v>
      </c>
      <c r="M23" s="101">
        <f t="shared" si="4"/>
        <v>13.767266666666666</v>
      </c>
      <c r="N23" s="105">
        <f t="shared" si="5"/>
        <v>1.1376726666666666</v>
      </c>
      <c r="O23" s="101">
        <f t="shared" si="6"/>
        <v>1.07</v>
      </c>
      <c r="P23" s="106">
        <f t="shared" si="7"/>
        <v>1.2173</v>
      </c>
    </row>
    <row r="24" spans="4:16" ht="19.5">
      <c r="D24" s="100">
        <v>30</v>
      </c>
      <c r="E24" s="101">
        <v>7.4491</v>
      </c>
      <c r="F24" s="102">
        <v>17</v>
      </c>
      <c r="G24" s="102">
        <v>3</v>
      </c>
      <c r="H24" s="103">
        <f t="shared" si="0"/>
        <v>0</v>
      </c>
      <c r="I24" s="103">
        <f t="shared" si="1"/>
        <v>0</v>
      </c>
      <c r="J24" s="104">
        <f t="shared" si="2"/>
        <v>7</v>
      </c>
      <c r="K24" s="101">
        <f t="shared" si="3"/>
        <v>1.1666666666666667</v>
      </c>
      <c r="L24" s="101">
        <v>4.5</v>
      </c>
      <c r="M24" s="101">
        <f t="shared" si="4"/>
        <v>13.115766666666666</v>
      </c>
      <c r="N24" s="105">
        <f t="shared" si="5"/>
        <v>1.1311576666666667</v>
      </c>
      <c r="O24" s="101">
        <f t="shared" si="6"/>
        <v>1.07</v>
      </c>
      <c r="P24" s="106">
        <f t="shared" si="7"/>
        <v>1.2103</v>
      </c>
    </row>
    <row r="25" spans="4:16" ht="19.5">
      <c r="D25" s="100">
        <v>40</v>
      </c>
      <c r="E25" s="101">
        <v>7.225</v>
      </c>
      <c r="F25" s="102">
        <v>17</v>
      </c>
      <c r="G25" s="102">
        <v>3</v>
      </c>
      <c r="H25" s="103">
        <f t="shared" si="0"/>
        <v>0</v>
      </c>
      <c r="I25" s="103">
        <f t="shared" si="1"/>
        <v>0</v>
      </c>
      <c r="J25" s="104">
        <f t="shared" si="2"/>
        <v>7</v>
      </c>
      <c r="K25" s="101">
        <f t="shared" si="3"/>
        <v>1.1666666666666667</v>
      </c>
      <c r="L25" s="101">
        <v>4.5</v>
      </c>
      <c r="M25" s="101">
        <f t="shared" si="4"/>
        <v>12.891666666666666</v>
      </c>
      <c r="N25" s="105">
        <f t="shared" si="5"/>
        <v>1.1289166666666666</v>
      </c>
      <c r="O25" s="101">
        <f t="shared" si="6"/>
        <v>1.07</v>
      </c>
      <c r="P25" s="106">
        <f t="shared" si="7"/>
        <v>1.2079</v>
      </c>
    </row>
    <row r="26" spans="4:16" ht="19.5">
      <c r="D26" s="100">
        <v>50</v>
      </c>
      <c r="E26" s="101">
        <v>7.2202</v>
      </c>
      <c r="F26" s="102">
        <v>18</v>
      </c>
      <c r="G26" s="102">
        <v>3</v>
      </c>
      <c r="H26" s="103">
        <f t="shared" si="0"/>
        <v>0</v>
      </c>
      <c r="I26" s="103">
        <f t="shared" si="1"/>
        <v>0</v>
      </c>
      <c r="J26" s="104">
        <f t="shared" si="2"/>
        <v>7</v>
      </c>
      <c r="K26" s="101">
        <f t="shared" si="3"/>
        <v>1.1666666666666667</v>
      </c>
      <c r="L26" s="101">
        <v>4.5</v>
      </c>
      <c r="M26" s="101">
        <f t="shared" si="4"/>
        <v>12.886866666666666</v>
      </c>
      <c r="N26" s="105">
        <f t="shared" si="5"/>
        <v>1.1288686666666667</v>
      </c>
      <c r="O26" s="101">
        <f t="shared" si="6"/>
        <v>1.07</v>
      </c>
      <c r="P26" s="106">
        <f t="shared" si="7"/>
        <v>1.2079</v>
      </c>
    </row>
    <row r="27" spans="4:16" ht="19.5">
      <c r="D27" s="100">
        <v>60</v>
      </c>
      <c r="E27" s="101">
        <v>6.7961</v>
      </c>
      <c r="F27" s="102">
        <v>18</v>
      </c>
      <c r="G27" s="102">
        <v>3</v>
      </c>
      <c r="H27" s="103">
        <f t="shared" si="0"/>
        <v>0</v>
      </c>
      <c r="I27" s="103">
        <f t="shared" si="1"/>
        <v>0</v>
      </c>
      <c r="J27" s="104">
        <f t="shared" si="2"/>
        <v>7</v>
      </c>
      <c r="K27" s="101">
        <f t="shared" si="3"/>
        <v>1.1666666666666667</v>
      </c>
      <c r="L27" s="101">
        <v>4</v>
      </c>
      <c r="M27" s="101">
        <f t="shared" si="4"/>
        <v>11.962766666666667</v>
      </c>
      <c r="N27" s="105">
        <f t="shared" si="5"/>
        <v>1.1196276666666667</v>
      </c>
      <c r="O27" s="101">
        <f t="shared" si="6"/>
        <v>1.07</v>
      </c>
      <c r="P27" s="106">
        <f t="shared" si="7"/>
        <v>1.198</v>
      </c>
    </row>
    <row r="28" spans="4:16" ht="19.5">
      <c r="D28" s="100">
        <v>70</v>
      </c>
      <c r="E28" s="101">
        <v>6.7758</v>
      </c>
      <c r="F28" s="102">
        <v>20</v>
      </c>
      <c r="G28" s="102">
        <v>3</v>
      </c>
      <c r="H28" s="103">
        <f t="shared" si="0"/>
        <v>0</v>
      </c>
      <c r="I28" s="103">
        <f t="shared" si="1"/>
        <v>0</v>
      </c>
      <c r="J28" s="104">
        <f t="shared" si="2"/>
        <v>7</v>
      </c>
      <c r="K28" s="101">
        <f t="shared" si="3"/>
        <v>1.1666666666666667</v>
      </c>
      <c r="L28" s="101">
        <v>4</v>
      </c>
      <c r="M28" s="101">
        <f t="shared" si="4"/>
        <v>11.942466666666668</v>
      </c>
      <c r="N28" s="105">
        <f t="shared" si="5"/>
        <v>1.1194246666666667</v>
      </c>
      <c r="O28" s="101">
        <f t="shared" si="6"/>
        <v>1.07</v>
      </c>
      <c r="P28" s="106">
        <f t="shared" si="7"/>
        <v>1.1978</v>
      </c>
    </row>
    <row r="29" spans="4:16" ht="19.5">
      <c r="D29" s="100">
        <v>80</v>
      </c>
      <c r="E29" s="101">
        <v>6.7758</v>
      </c>
      <c r="F29" s="102">
        <v>20</v>
      </c>
      <c r="G29" s="102">
        <v>3</v>
      </c>
      <c r="H29" s="103">
        <f t="shared" si="0"/>
        <v>0</v>
      </c>
      <c r="I29" s="103">
        <f t="shared" si="1"/>
        <v>0</v>
      </c>
      <c r="J29" s="104">
        <f t="shared" si="2"/>
        <v>7</v>
      </c>
      <c r="K29" s="101">
        <f t="shared" si="3"/>
        <v>1.1666666666666667</v>
      </c>
      <c r="L29" s="101">
        <v>4</v>
      </c>
      <c r="M29" s="101">
        <f t="shared" si="4"/>
        <v>11.942466666666668</v>
      </c>
      <c r="N29" s="105">
        <f t="shared" si="5"/>
        <v>1.1194246666666667</v>
      </c>
      <c r="O29" s="101">
        <f t="shared" si="6"/>
        <v>1.07</v>
      </c>
      <c r="P29" s="106">
        <f t="shared" si="7"/>
        <v>1.1978</v>
      </c>
    </row>
    <row r="30" spans="4:16" ht="19.5">
      <c r="D30" s="100">
        <v>90</v>
      </c>
      <c r="E30" s="101">
        <v>6.5412</v>
      </c>
      <c r="F30" s="102">
        <v>20</v>
      </c>
      <c r="G30" s="102">
        <v>3</v>
      </c>
      <c r="H30" s="103">
        <f t="shared" si="0"/>
        <v>0</v>
      </c>
      <c r="I30" s="103">
        <f t="shared" si="1"/>
        <v>0</v>
      </c>
      <c r="J30" s="104">
        <f t="shared" si="2"/>
        <v>7</v>
      </c>
      <c r="K30" s="101">
        <f t="shared" si="3"/>
        <v>1.1666666666666667</v>
      </c>
      <c r="L30" s="101">
        <v>4</v>
      </c>
      <c r="M30" s="101">
        <f t="shared" si="4"/>
        <v>11.707866666666668</v>
      </c>
      <c r="N30" s="105">
        <f t="shared" si="5"/>
        <v>1.1170786666666668</v>
      </c>
      <c r="O30" s="101">
        <f t="shared" si="6"/>
        <v>1.07</v>
      </c>
      <c r="P30" s="106">
        <f t="shared" si="7"/>
        <v>1.1953</v>
      </c>
    </row>
    <row r="31" spans="4:16" ht="19.5">
      <c r="D31" s="100">
        <v>100</v>
      </c>
      <c r="E31" s="101">
        <v>6.5412</v>
      </c>
      <c r="F31" s="102">
        <v>20</v>
      </c>
      <c r="G31" s="102">
        <v>3</v>
      </c>
      <c r="H31" s="103">
        <f t="shared" si="0"/>
        <v>0</v>
      </c>
      <c r="I31" s="103">
        <f t="shared" si="1"/>
        <v>0</v>
      </c>
      <c r="J31" s="104">
        <f t="shared" si="2"/>
        <v>7</v>
      </c>
      <c r="K31" s="101">
        <f t="shared" si="3"/>
        <v>1.1666666666666667</v>
      </c>
      <c r="L31" s="101">
        <v>4</v>
      </c>
      <c r="M31" s="101">
        <f t="shared" si="4"/>
        <v>11.707866666666668</v>
      </c>
      <c r="N31" s="105">
        <f t="shared" si="5"/>
        <v>1.1170786666666668</v>
      </c>
      <c r="O31" s="101">
        <f t="shared" si="6"/>
        <v>1.07</v>
      </c>
      <c r="P31" s="106">
        <f t="shared" si="7"/>
        <v>1.1953</v>
      </c>
    </row>
    <row r="32" spans="4:16" ht="19.5">
      <c r="D32" s="100">
        <v>150</v>
      </c>
      <c r="E32" s="101">
        <v>6.533</v>
      </c>
      <c r="F32" s="102">
        <v>22</v>
      </c>
      <c r="G32" s="102">
        <v>3</v>
      </c>
      <c r="H32" s="103">
        <f t="shared" si="0"/>
        <v>0</v>
      </c>
      <c r="I32" s="103">
        <f t="shared" si="1"/>
        <v>0</v>
      </c>
      <c r="J32" s="104">
        <f t="shared" si="2"/>
        <v>7</v>
      </c>
      <c r="K32" s="101">
        <f t="shared" si="3"/>
        <v>1.1666666666666667</v>
      </c>
      <c r="L32" s="101">
        <v>4</v>
      </c>
      <c r="M32" s="101">
        <f t="shared" si="4"/>
        <v>11.699666666666667</v>
      </c>
      <c r="N32" s="105">
        <f t="shared" si="5"/>
        <v>1.1169966666666666</v>
      </c>
      <c r="O32" s="101">
        <f t="shared" si="6"/>
        <v>1.07</v>
      </c>
      <c r="P32" s="106">
        <f t="shared" si="7"/>
        <v>1.1952</v>
      </c>
    </row>
    <row r="33" spans="4:16" ht="19.5">
      <c r="D33" s="100">
        <v>200</v>
      </c>
      <c r="E33" s="101">
        <v>6.5224</v>
      </c>
      <c r="F33" s="102">
        <v>24</v>
      </c>
      <c r="G33" s="102">
        <v>3</v>
      </c>
      <c r="H33" s="103">
        <f t="shared" si="0"/>
        <v>0</v>
      </c>
      <c r="I33" s="103">
        <f t="shared" si="1"/>
        <v>0</v>
      </c>
      <c r="J33" s="104">
        <f t="shared" si="2"/>
        <v>7</v>
      </c>
      <c r="K33" s="101">
        <f t="shared" si="3"/>
        <v>1.1666666666666667</v>
      </c>
      <c r="L33" s="101">
        <v>4</v>
      </c>
      <c r="M33" s="101">
        <f t="shared" si="4"/>
        <v>11.689066666666667</v>
      </c>
      <c r="N33" s="105">
        <f t="shared" si="5"/>
        <v>1.1168906666666667</v>
      </c>
      <c r="O33" s="101">
        <f t="shared" si="6"/>
        <v>1.07</v>
      </c>
      <c r="P33" s="106">
        <f t="shared" si="7"/>
        <v>1.1951</v>
      </c>
    </row>
    <row r="34" spans="4:16" ht="19.5">
      <c r="D34" s="100">
        <v>250</v>
      </c>
      <c r="E34" s="101">
        <v>6.2711</v>
      </c>
      <c r="F34" s="102">
        <v>28</v>
      </c>
      <c r="G34" s="102">
        <v>3</v>
      </c>
      <c r="H34" s="103">
        <f t="shared" si="0"/>
        <v>0</v>
      </c>
      <c r="I34" s="103">
        <f t="shared" si="1"/>
        <v>0</v>
      </c>
      <c r="J34" s="104">
        <f t="shared" si="2"/>
        <v>7</v>
      </c>
      <c r="K34" s="101">
        <f t="shared" si="3"/>
        <v>1.1666666666666667</v>
      </c>
      <c r="L34" s="101">
        <v>4</v>
      </c>
      <c r="M34" s="101">
        <f t="shared" si="4"/>
        <v>11.437766666666667</v>
      </c>
      <c r="N34" s="105">
        <f t="shared" si="5"/>
        <v>1.1143776666666667</v>
      </c>
      <c r="O34" s="101">
        <f t="shared" si="6"/>
        <v>1.07</v>
      </c>
      <c r="P34" s="106">
        <f t="shared" si="7"/>
        <v>1.1924</v>
      </c>
    </row>
    <row r="35" spans="4:16" ht="19.5">
      <c r="D35" s="100">
        <v>300</v>
      </c>
      <c r="E35" s="101">
        <v>6.2679</v>
      </c>
      <c r="F35" s="102">
        <v>30</v>
      </c>
      <c r="G35" s="102">
        <v>3</v>
      </c>
      <c r="H35" s="103">
        <f t="shared" si="0"/>
        <v>0</v>
      </c>
      <c r="I35" s="103">
        <f t="shared" si="1"/>
        <v>0</v>
      </c>
      <c r="J35" s="104">
        <f t="shared" si="2"/>
        <v>7</v>
      </c>
      <c r="K35" s="101">
        <f t="shared" si="3"/>
        <v>1.1666666666666667</v>
      </c>
      <c r="L35" s="101">
        <v>3.5</v>
      </c>
      <c r="M35" s="101">
        <f t="shared" si="4"/>
        <v>10.934566666666667</v>
      </c>
      <c r="N35" s="105">
        <f t="shared" si="5"/>
        <v>1.1093456666666666</v>
      </c>
      <c r="O35" s="101">
        <f t="shared" si="6"/>
        <v>1.07</v>
      </c>
      <c r="P35" s="106">
        <f t="shared" si="7"/>
        <v>1.187</v>
      </c>
    </row>
    <row r="36" spans="4:16" ht="19.5">
      <c r="D36" s="100">
        <v>350</v>
      </c>
      <c r="E36" s="101">
        <v>6.1909</v>
      </c>
      <c r="F36" s="102">
        <v>32</v>
      </c>
      <c r="G36" s="102">
        <v>3</v>
      </c>
      <c r="H36" s="103">
        <f t="shared" si="0"/>
        <v>0</v>
      </c>
      <c r="I36" s="103">
        <f t="shared" si="1"/>
        <v>0</v>
      </c>
      <c r="J36" s="104">
        <f t="shared" si="2"/>
        <v>7</v>
      </c>
      <c r="K36" s="101">
        <f t="shared" si="3"/>
        <v>1.1666666666666667</v>
      </c>
      <c r="L36" s="101">
        <v>3.5</v>
      </c>
      <c r="M36" s="101">
        <f t="shared" si="4"/>
        <v>10.857566666666667</v>
      </c>
      <c r="N36" s="105">
        <f t="shared" si="5"/>
        <v>1.1085756666666666</v>
      </c>
      <c r="O36" s="101">
        <f t="shared" si="6"/>
        <v>1.07</v>
      </c>
      <c r="P36" s="106">
        <f t="shared" si="7"/>
        <v>1.1862</v>
      </c>
    </row>
    <row r="37" spans="4:16" ht="19.5">
      <c r="D37" s="100">
        <v>400</v>
      </c>
      <c r="E37" s="101">
        <v>6.1658</v>
      </c>
      <c r="F37" s="102">
        <v>36</v>
      </c>
      <c r="G37" s="102">
        <v>3</v>
      </c>
      <c r="H37" s="103">
        <f t="shared" si="0"/>
        <v>0</v>
      </c>
      <c r="I37" s="103">
        <f t="shared" si="1"/>
        <v>0</v>
      </c>
      <c r="J37" s="104">
        <f t="shared" si="2"/>
        <v>7</v>
      </c>
      <c r="K37" s="101">
        <f t="shared" si="3"/>
        <v>1.1666666666666667</v>
      </c>
      <c r="L37" s="101">
        <v>3.5</v>
      </c>
      <c r="M37" s="101">
        <f t="shared" si="4"/>
        <v>10.832466666666667</v>
      </c>
      <c r="N37" s="105">
        <f t="shared" si="5"/>
        <v>1.1083246666666666</v>
      </c>
      <c r="O37" s="101">
        <f t="shared" si="6"/>
        <v>1.07</v>
      </c>
      <c r="P37" s="106">
        <f t="shared" si="7"/>
        <v>1.1859</v>
      </c>
    </row>
    <row r="38" spans="4:16" ht="19.5">
      <c r="D38" s="100">
        <v>500</v>
      </c>
      <c r="E38" s="101">
        <v>6.1658</v>
      </c>
      <c r="F38" s="102">
        <v>36</v>
      </c>
      <c r="G38" s="102">
        <v>3</v>
      </c>
      <c r="H38" s="103">
        <f t="shared" si="0"/>
        <v>0</v>
      </c>
      <c r="I38" s="103">
        <f t="shared" si="1"/>
        <v>0</v>
      </c>
      <c r="J38" s="104">
        <f t="shared" si="2"/>
        <v>7</v>
      </c>
      <c r="K38" s="101">
        <f t="shared" si="3"/>
        <v>1.1666666666666667</v>
      </c>
      <c r="L38" s="101">
        <v>3.5</v>
      </c>
      <c r="M38" s="101">
        <f t="shared" si="4"/>
        <v>10.832466666666667</v>
      </c>
      <c r="N38" s="105">
        <f t="shared" si="5"/>
        <v>1.1083246666666666</v>
      </c>
      <c r="O38" s="101">
        <f t="shared" si="6"/>
        <v>1.07</v>
      </c>
      <c r="P38" s="106">
        <f t="shared" si="7"/>
        <v>1.1859</v>
      </c>
    </row>
    <row r="39" spans="4:16" ht="20.25" customHeight="1" thickBot="1">
      <c r="D39" s="148" t="s">
        <v>145</v>
      </c>
      <c r="E39" s="108">
        <v>5.5503</v>
      </c>
      <c r="F39" s="109">
        <v>40</v>
      </c>
      <c r="G39" s="109">
        <v>3</v>
      </c>
      <c r="H39" s="110">
        <f t="shared" si="0"/>
        <v>0</v>
      </c>
      <c r="I39" s="110">
        <f t="shared" si="1"/>
        <v>0</v>
      </c>
      <c r="J39" s="111">
        <f t="shared" si="2"/>
        <v>7</v>
      </c>
      <c r="K39" s="108">
        <f t="shared" si="3"/>
        <v>1.1666666666666667</v>
      </c>
      <c r="L39" s="108">
        <v>3.5</v>
      </c>
      <c r="M39" s="108">
        <f t="shared" si="4"/>
        <v>10.216966666666668</v>
      </c>
      <c r="N39" s="112">
        <f t="shared" si="5"/>
        <v>1.1021696666666667</v>
      </c>
      <c r="O39" s="108">
        <f t="shared" si="6"/>
        <v>1.07</v>
      </c>
      <c r="P39" s="113">
        <f t="shared" si="7"/>
        <v>1.1793</v>
      </c>
    </row>
    <row r="40" spans="4:16" ht="19.5">
      <c r="D40" s="26" t="s">
        <v>146</v>
      </c>
      <c r="E40" s="27" t="s">
        <v>147</v>
      </c>
      <c r="F40" s="26"/>
      <c r="G40" s="26"/>
      <c r="H40" s="26"/>
      <c r="I40" s="26"/>
      <c r="J40" s="26"/>
      <c r="K40" s="27"/>
      <c r="L40" s="27"/>
      <c r="M40" s="27"/>
      <c r="N40" s="26"/>
      <c r="O40" s="26"/>
      <c r="P40" s="26"/>
    </row>
    <row r="41" spans="4:16" ht="20.25">
      <c r="D41" s="26"/>
      <c r="E41" s="27" t="s">
        <v>148</v>
      </c>
      <c r="F41" s="26"/>
      <c r="G41" s="26"/>
      <c r="H41" s="26"/>
      <c r="I41" s="26"/>
      <c r="J41" s="26"/>
      <c r="K41" s="27"/>
      <c r="L41" s="27"/>
      <c r="M41" s="27"/>
      <c r="N41" s="26"/>
      <c r="O41" s="26"/>
      <c r="P41" s="26"/>
    </row>
  </sheetData>
  <sheetProtection password="87BD" sheet="1" objects="1" scenarios="1" selectLockedCells="1"/>
  <mergeCells count="14">
    <mergeCell ref="D8:P8"/>
    <mergeCell ref="D9:P9"/>
    <mergeCell ref="D14:D15"/>
    <mergeCell ref="E14:M14"/>
    <mergeCell ref="N14:N15"/>
    <mergeCell ref="O14:O15"/>
    <mergeCell ref="P14:P15"/>
    <mergeCell ref="N4:O4"/>
    <mergeCell ref="N5:O5"/>
    <mergeCell ref="L5:M5"/>
    <mergeCell ref="L4:M4"/>
    <mergeCell ref="K2:P2"/>
    <mergeCell ref="D6:E6"/>
    <mergeCell ref="N6:O6"/>
  </mergeCells>
  <dataValidations count="5">
    <dataValidation type="list" allowBlank="1" showInputMessage="1" showErrorMessage="1" sqref="O11">
      <formula1>$T$13:$T$15</formula1>
    </dataValidation>
    <dataValidation type="list" allowBlank="1" showInputMessage="1" showErrorMessage="1" sqref="K11">
      <formula1>$S$12:$S$15</formula1>
    </dataValidation>
    <dataValidation type="decimal" operator="greaterThanOrEqual" allowBlank="1" showInputMessage="1" showErrorMessage="1" promptTitle="ค่างานต้นทุน" prompt="ใส่ค่างานต้นทุน (ค่าวัสดุ+ค่าแรง)&#10;ซึ่งยังไม่รวมค่า ภาษี กำไร ค่าดำเนินการ" errorTitle="ค่างานต้นทุน" error="ใส่ตัวเลขเท่านั้นครับ" sqref="N4:O4">
      <formula1>0</formula1>
    </dataValidation>
    <dataValidation type="list" allowBlank="1" showInputMessage="1" showErrorMessage="1" sqref="K12">
      <formula1>$S$12:$S$14</formula1>
    </dataValidation>
    <dataValidation type="list" allowBlank="1" showInputMessage="1" showErrorMessage="1" sqref="O12">
      <formula1>$U$12:$U$13</formula1>
    </dataValidation>
  </dataValidations>
  <hyperlinks>
    <hyperlink ref="D6" r:id="rId1" display="www.yotathai.net"/>
  </hyperlinks>
  <printOptions horizontalCentered="1"/>
  <pageMargins left="0.62" right="0.35" top="0.59" bottom="0.49" header="0.5118110236220472" footer="0.33"/>
  <pageSetup blackAndWhite="1" horizontalDpi="300" verticalDpi="300" orientation="portrait" paperSize="9" scale="90" r:id="rId3"/>
  <headerFooter>
    <oddFooter>&amp;Rwww.yotathai.net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D1:AE54"/>
  <sheetViews>
    <sheetView showGridLines="0" showRowColHeaders="0" showOutlineSymbols="0" zoomScalePageLayoutView="0" workbookViewId="0" topLeftCell="A1">
      <selection activeCell="O11" sqref="O11"/>
    </sheetView>
  </sheetViews>
  <sheetFormatPr defaultColWidth="9.00390625" defaultRowHeight="12.75"/>
  <cols>
    <col min="1" max="2" width="9.00390625" style="3" customWidth="1"/>
    <col min="3" max="3" width="3.7109375" style="3" customWidth="1"/>
    <col min="4" max="4" width="10.28125" style="3" customWidth="1"/>
    <col min="5" max="5" width="10.28125" style="6" customWidth="1"/>
    <col min="6" max="10" width="9.00390625" style="3" hidden="1" customWidth="1"/>
    <col min="11" max="13" width="10.28125" style="6" customWidth="1"/>
    <col min="14" max="16" width="10.28125" style="3" customWidth="1"/>
    <col min="17" max="18" width="10.28125" style="6" hidden="1" customWidth="1"/>
    <col min="19" max="22" width="10.28125" style="3" hidden="1" customWidth="1"/>
    <col min="23" max="24" width="10.28125" style="3" customWidth="1"/>
    <col min="25" max="25" width="9.00390625" style="26" hidden="1" customWidth="1"/>
    <col min="26" max="26" width="10.8515625" style="37" hidden="1" customWidth="1"/>
    <col min="27" max="27" width="11.57421875" style="26" hidden="1" customWidth="1"/>
    <col min="28" max="28" width="9.00390625" style="26" hidden="1" customWidth="1"/>
    <col min="29" max="29" width="11.28125" style="26" hidden="1" customWidth="1"/>
    <col min="30" max="31" width="9.00390625" style="26" hidden="1" customWidth="1"/>
    <col min="32" max="16384" width="9.00390625" style="3" customWidth="1"/>
  </cols>
  <sheetData>
    <row r="1" spans="24:31" ht="16.5" customHeight="1" thickBot="1">
      <c r="X1" s="64" t="str">
        <f>F_อาคาร!P1</f>
        <v>Factor F_2555</v>
      </c>
      <c r="Y1" s="3"/>
      <c r="Z1" s="52"/>
      <c r="AA1" s="3"/>
      <c r="AB1" s="3"/>
      <c r="AC1" s="3"/>
      <c r="AD1" s="3"/>
      <c r="AE1" s="3"/>
    </row>
    <row r="2" spans="4:24" ht="24">
      <c r="D2" s="29"/>
      <c r="E2" s="29"/>
      <c r="F2" s="28"/>
      <c r="G2" s="28"/>
      <c r="H2" s="28"/>
      <c r="I2" s="28"/>
      <c r="J2" s="28"/>
      <c r="K2" s="709" t="s">
        <v>66</v>
      </c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</row>
    <row r="3" spans="4:24" ht="8.25" customHeight="1">
      <c r="D3" s="29"/>
      <c r="E3" s="29"/>
      <c r="F3" s="29"/>
      <c r="G3" s="29"/>
      <c r="H3" s="29"/>
      <c r="I3" s="29"/>
      <c r="J3" s="29"/>
      <c r="K3" s="11"/>
      <c r="L3" s="11"/>
      <c r="M3" s="11"/>
      <c r="N3" s="11"/>
      <c r="O3" s="11"/>
      <c r="P3" s="11"/>
      <c r="Q3" s="72"/>
      <c r="R3" s="72"/>
      <c r="S3" s="7"/>
      <c r="T3" s="7"/>
      <c r="U3" s="7"/>
      <c r="V3" s="7"/>
      <c r="W3" s="7"/>
      <c r="X3" s="7"/>
    </row>
    <row r="4" spans="4:27" ht="20.25">
      <c r="D4" s="30"/>
      <c r="E4" s="31"/>
      <c r="F4" s="30"/>
      <c r="G4" s="30"/>
      <c r="H4" s="30"/>
      <c r="I4" s="30"/>
      <c r="J4" s="30"/>
      <c r="K4" s="72" t="s">
        <v>4</v>
      </c>
      <c r="L4" s="72"/>
      <c r="M4" s="706">
        <v>18000000</v>
      </c>
      <c r="N4" s="706"/>
      <c r="O4" s="149" t="s">
        <v>5</v>
      </c>
      <c r="P4" s="727" t="s">
        <v>41</v>
      </c>
      <c r="Q4" s="727"/>
      <c r="R4" s="727"/>
      <c r="S4" s="727"/>
      <c r="T4" s="727"/>
      <c r="U4" s="727"/>
      <c r="V4" s="727"/>
      <c r="W4" s="727"/>
      <c r="X4" s="7"/>
      <c r="Y4" s="38"/>
      <c r="Z4" s="48"/>
      <c r="AA4" s="38"/>
    </row>
    <row r="5" spans="4:27" ht="20.25">
      <c r="D5" s="30"/>
      <c r="E5" s="32"/>
      <c r="F5" s="32"/>
      <c r="G5" s="32"/>
      <c r="H5" s="32"/>
      <c r="I5" s="32"/>
      <c r="J5" s="32"/>
      <c r="K5" s="72" t="s">
        <v>13</v>
      </c>
      <c r="L5" s="72"/>
      <c r="M5" s="726">
        <f>IF(W6=1,IF(M4=0,0,IF(M4&lt;=5000000,W16,IF(M4&gt;=500000000,W52,AB21))),IF(W6=2,IF(M4=0,0,IF(M4&lt;=5000000,X16,IF(M4&gt;=500000000,X52,AB21))),IF(M4=0,0,IF(M4&lt;=5000000,P16,IF(M4&gt;=500000000,P52,AB21)))))</f>
        <v>1.2551</v>
      </c>
      <c r="N5" s="726"/>
      <c r="O5" s="149"/>
      <c r="P5" s="145" t="s">
        <v>39</v>
      </c>
      <c r="Q5" s="31"/>
      <c r="R5" s="31"/>
      <c r="S5" s="30"/>
      <c r="T5" s="30"/>
      <c r="U5" s="30"/>
      <c r="V5" s="30"/>
      <c r="W5" s="144" t="s">
        <v>62</v>
      </c>
      <c r="X5" s="7"/>
      <c r="Y5" s="38"/>
      <c r="Z5" s="39"/>
      <c r="AA5" s="46"/>
    </row>
    <row r="6" spans="4:26" ht="21" customHeight="1">
      <c r="D6" s="733" t="s">
        <v>29</v>
      </c>
      <c r="E6" s="734"/>
      <c r="F6" s="33"/>
      <c r="G6" s="33"/>
      <c r="H6" s="33"/>
      <c r="I6" s="33"/>
      <c r="J6" s="33"/>
      <c r="K6" s="72" t="s">
        <v>28</v>
      </c>
      <c r="L6" s="72"/>
      <c r="M6" s="712">
        <f>ROUND((M5*M4),2)</f>
        <v>22591800</v>
      </c>
      <c r="N6" s="712"/>
      <c r="O6" s="149" t="s">
        <v>5</v>
      </c>
      <c r="P6" s="145" t="s">
        <v>40</v>
      </c>
      <c r="Q6" s="31"/>
      <c r="R6" s="31"/>
      <c r="S6" s="30"/>
      <c r="T6" s="30"/>
      <c r="U6" s="30"/>
      <c r="V6" s="30"/>
      <c r="W6" s="146" t="str">
        <f>VLOOKUP(W5,AC17:AD36,2,FALSE)</f>
        <v>ปกติ</v>
      </c>
      <c r="X6" s="7"/>
      <c r="Z6" s="49"/>
    </row>
    <row r="7" spans="4:24" ht="9" customHeight="1" thickBot="1">
      <c r="D7" s="30"/>
      <c r="E7" s="31"/>
      <c r="F7" s="34"/>
      <c r="G7" s="34"/>
      <c r="H7" s="34"/>
      <c r="I7" s="34"/>
      <c r="J7" s="34"/>
      <c r="K7" s="72"/>
      <c r="L7" s="72"/>
      <c r="M7" s="72"/>
      <c r="N7" s="114"/>
      <c r="O7" s="114"/>
      <c r="P7" s="7"/>
      <c r="Q7" s="72"/>
      <c r="R7" s="72"/>
      <c r="S7" s="7"/>
      <c r="T7" s="7"/>
      <c r="U7" s="7"/>
      <c r="V7" s="7"/>
      <c r="W7" s="7"/>
      <c r="X7" s="7"/>
    </row>
    <row r="8" spans="4:24" ht="9.75" customHeight="1" hidden="1" thickBot="1">
      <c r="D8" s="713"/>
      <c r="E8" s="713"/>
      <c r="F8" s="714"/>
      <c r="G8" s="714"/>
      <c r="H8" s="714"/>
      <c r="I8" s="714"/>
      <c r="J8" s="714"/>
      <c r="K8" s="713"/>
      <c r="L8" s="713"/>
      <c r="M8" s="713"/>
      <c r="N8" s="713"/>
      <c r="O8" s="713"/>
      <c r="P8" s="713"/>
      <c r="Q8" s="27"/>
      <c r="R8" s="27"/>
      <c r="S8" s="26"/>
      <c r="T8" s="26"/>
      <c r="U8" s="26"/>
      <c r="V8" s="26"/>
      <c r="W8" s="26"/>
      <c r="X8" s="26"/>
    </row>
    <row r="9" spans="4:31" s="4" customFormat="1" ht="22.5" customHeight="1">
      <c r="D9" s="709" t="s">
        <v>121</v>
      </c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709"/>
      <c r="P9" s="709"/>
      <c r="Q9" s="709"/>
      <c r="R9" s="709"/>
      <c r="S9" s="709"/>
      <c r="T9" s="709"/>
      <c r="U9" s="709"/>
      <c r="V9" s="709"/>
      <c r="W9" s="709"/>
      <c r="X9" s="709"/>
      <c r="Y9" s="36"/>
      <c r="Z9" s="36"/>
      <c r="AA9" s="36"/>
      <c r="AB9" s="36"/>
      <c r="AC9" s="36"/>
      <c r="AD9" s="36"/>
      <c r="AE9" s="36"/>
    </row>
    <row r="10" spans="4:28" ht="4.5" customHeight="1"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1"/>
      <c r="R10" s="31"/>
      <c r="S10" s="30"/>
      <c r="T10" s="30"/>
      <c r="U10" s="30"/>
      <c r="V10" s="30"/>
      <c r="W10" s="30"/>
      <c r="X10" s="30"/>
      <c r="AB10" s="47" t="s">
        <v>64</v>
      </c>
    </row>
    <row r="11" spans="4:28" ht="19.5">
      <c r="D11" s="30" t="s">
        <v>26</v>
      </c>
      <c r="E11" s="31"/>
      <c r="F11" s="30"/>
      <c r="G11" s="30"/>
      <c r="H11" s="30"/>
      <c r="I11" s="30"/>
      <c r="J11" s="30"/>
      <c r="K11" s="84">
        <v>0</v>
      </c>
      <c r="L11" s="31" t="s">
        <v>2</v>
      </c>
      <c r="M11" s="31" t="s">
        <v>0</v>
      </c>
      <c r="N11" s="30"/>
      <c r="O11" s="86">
        <v>7</v>
      </c>
      <c r="P11" s="30" t="s">
        <v>2</v>
      </c>
      <c r="Q11" s="31"/>
      <c r="R11" s="31"/>
      <c r="S11" s="30"/>
      <c r="T11" s="30"/>
      <c r="U11" s="30"/>
      <c r="V11" s="30"/>
      <c r="W11" s="30"/>
      <c r="X11" s="30"/>
      <c r="AB11" s="47" t="s">
        <v>65</v>
      </c>
    </row>
    <row r="12" spans="4:24" ht="19.5">
      <c r="D12" s="30" t="s">
        <v>27</v>
      </c>
      <c r="E12" s="31"/>
      <c r="F12" s="30"/>
      <c r="G12" s="30"/>
      <c r="H12" s="30"/>
      <c r="I12" s="30"/>
      <c r="J12" s="30"/>
      <c r="K12" s="83">
        <v>0</v>
      </c>
      <c r="L12" s="31" t="s">
        <v>2</v>
      </c>
      <c r="M12" s="31" t="s">
        <v>3</v>
      </c>
      <c r="N12" s="30"/>
      <c r="O12" s="85">
        <v>7</v>
      </c>
      <c r="P12" s="30" t="s">
        <v>2</v>
      </c>
      <c r="Q12" s="31"/>
      <c r="R12" s="31"/>
      <c r="S12" s="30"/>
      <c r="T12" s="30"/>
      <c r="U12" s="30"/>
      <c r="V12" s="30"/>
      <c r="W12" s="30"/>
      <c r="X12" s="30"/>
    </row>
    <row r="13" spans="4:24" ht="4.5" customHeight="1" thickBot="1">
      <c r="D13" s="34"/>
      <c r="E13" s="35"/>
      <c r="F13" s="34"/>
      <c r="G13" s="34"/>
      <c r="H13" s="34"/>
      <c r="I13" s="34"/>
      <c r="J13" s="34"/>
      <c r="K13" s="35"/>
      <c r="L13" s="35"/>
      <c r="M13" s="35"/>
      <c r="N13" s="34"/>
      <c r="O13" s="35"/>
      <c r="P13" s="34"/>
      <c r="Q13" s="35"/>
      <c r="R13" s="35"/>
      <c r="S13" s="34"/>
      <c r="T13" s="34"/>
      <c r="U13" s="34"/>
      <c r="V13" s="34"/>
      <c r="W13" s="34"/>
      <c r="X13" s="34"/>
    </row>
    <row r="14" spans="4:24" ht="20.25">
      <c r="D14" s="715" t="s">
        <v>67</v>
      </c>
      <c r="E14" s="717" t="s">
        <v>30</v>
      </c>
      <c r="F14" s="718"/>
      <c r="G14" s="718"/>
      <c r="H14" s="718"/>
      <c r="I14" s="718"/>
      <c r="J14" s="718"/>
      <c r="K14" s="718"/>
      <c r="L14" s="718"/>
      <c r="M14" s="718"/>
      <c r="N14" s="717" t="s">
        <v>14</v>
      </c>
      <c r="O14" s="717" t="s">
        <v>101</v>
      </c>
      <c r="P14" s="718" t="s">
        <v>1</v>
      </c>
      <c r="Q14" s="728" t="s">
        <v>31</v>
      </c>
      <c r="R14" s="730" t="s">
        <v>33</v>
      </c>
      <c r="S14" s="731" t="s">
        <v>32</v>
      </c>
      <c r="T14" s="722" t="s">
        <v>34</v>
      </c>
      <c r="U14" s="731" t="s">
        <v>35</v>
      </c>
      <c r="V14" s="116"/>
      <c r="W14" s="735" t="s">
        <v>37</v>
      </c>
      <c r="X14" s="724" t="s">
        <v>38</v>
      </c>
    </row>
    <row r="15" spans="4:24" ht="41.25" customHeight="1" thickBot="1">
      <c r="D15" s="716"/>
      <c r="E15" s="91" t="s">
        <v>16</v>
      </c>
      <c r="F15" s="92" t="s">
        <v>17</v>
      </c>
      <c r="G15" s="92" t="s">
        <v>18</v>
      </c>
      <c r="H15" s="92" t="s">
        <v>19</v>
      </c>
      <c r="I15" s="92" t="s">
        <v>20</v>
      </c>
      <c r="J15" s="92" t="s">
        <v>21</v>
      </c>
      <c r="K15" s="91" t="s">
        <v>22</v>
      </c>
      <c r="L15" s="91" t="s">
        <v>23</v>
      </c>
      <c r="M15" s="91" t="s">
        <v>24</v>
      </c>
      <c r="N15" s="719"/>
      <c r="O15" s="719"/>
      <c r="P15" s="719"/>
      <c r="Q15" s="729"/>
      <c r="R15" s="729"/>
      <c r="S15" s="732"/>
      <c r="T15" s="723"/>
      <c r="U15" s="732"/>
      <c r="V15" s="117" t="s">
        <v>36</v>
      </c>
      <c r="W15" s="736"/>
      <c r="X15" s="725"/>
    </row>
    <row r="16" spans="4:29" ht="19.5">
      <c r="D16" s="93" t="s">
        <v>150</v>
      </c>
      <c r="E16" s="94">
        <v>18.2361</v>
      </c>
      <c r="F16" s="95">
        <v>6</v>
      </c>
      <c r="G16" s="95">
        <v>3</v>
      </c>
      <c r="H16" s="96">
        <f aca="true" t="shared" si="0" ref="H16:H52">$K$11</f>
        <v>0</v>
      </c>
      <c r="I16" s="96">
        <f aca="true" t="shared" si="1" ref="I16:I52">$K$12</f>
        <v>0</v>
      </c>
      <c r="J16" s="97">
        <f aca="true" t="shared" si="2" ref="J16:J52">$O$11</f>
        <v>7</v>
      </c>
      <c r="K16" s="94">
        <f aca="true" t="shared" si="3" ref="K16:K52">(-1)*(J16/12)*((I16/100)+((F16+G16-1)*(H16/100))-(((H16+I16)/100)*((F16+1)/2))-(G16-1))</f>
        <v>1.1666666666666667</v>
      </c>
      <c r="L16" s="94">
        <v>5.5</v>
      </c>
      <c r="M16" s="94">
        <f aca="true" t="shared" si="4" ref="M16:M52">E16+K16+L16</f>
        <v>24.90276666666667</v>
      </c>
      <c r="N16" s="98">
        <f>1+(M16/100)</f>
        <v>1.2490276666666666</v>
      </c>
      <c r="O16" s="94">
        <f aca="true" t="shared" si="5" ref="O16:O52">1+($O$12/100)</f>
        <v>1.07</v>
      </c>
      <c r="P16" s="118">
        <f aca="true" t="shared" si="6" ref="P16:P52">ROUND(N16*O16,4)</f>
        <v>1.3365</v>
      </c>
      <c r="Q16" s="119">
        <v>18.0812</v>
      </c>
      <c r="R16" s="120">
        <v>1</v>
      </c>
      <c r="S16" s="121">
        <f>R16/12*Q16*F16/12</f>
        <v>0.7533833333333333</v>
      </c>
      <c r="T16" s="98">
        <f>R16/12*J16</f>
        <v>0.5833333333333333</v>
      </c>
      <c r="U16" s="121">
        <v>0.625</v>
      </c>
      <c r="V16" s="121">
        <f>S16+T16+U16</f>
        <v>1.9617166666666666</v>
      </c>
      <c r="W16" s="121">
        <f>ROUND((N16+V16/100)*O16,4)</f>
        <v>1.3574</v>
      </c>
      <c r="X16" s="122">
        <f>ROUND((N16+2*(V16/100))*O16,4)</f>
        <v>1.3784</v>
      </c>
      <c r="Z16" s="38" t="s">
        <v>6</v>
      </c>
      <c r="AA16" s="40">
        <f>M4/1000000</f>
        <v>18</v>
      </c>
      <c r="AB16" s="38"/>
      <c r="AC16" s="26" t="s">
        <v>40</v>
      </c>
    </row>
    <row r="17" spans="4:30" ht="19.5" hidden="1">
      <c r="D17" s="123">
        <v>5</v>
      </c>
      <c r="E17" s="101">
        <v>18.2361</v>
      </c>
      <c r="F17" s="102">
        <v>6</v>
      </c>
      <c r="G17" s="102">
        <v>3</v>
      </c>
      <c r="H17" s="103">
        <f t="shared" si="0"/>
        <v>0</v>
      </c>
      <c r="I17" s="103">
        <f t="shared" si="1"/>
        <v>0</v>
      </c>
      <c r="J17" s="104">
        <f t="shared" si="2"/>
        <v>7</v>
      </c>
      <c r="K17" s="101">
        <f>(-1)*(J17/12)*((I17/100)+((F17+G17-1)*(H17/100))-(((H17+I17)/100)*((F17+1)/2))-(G17-1))</f>
        <v>1.1666666666666667</v>
      </c>
      <c r="L17" s="101">
        <v>5.5</v>
      </c>
      <c r="M17" s="101">
        <f>E17+K17+L17</f>
        <v>24.90276666666667</v>
      </c>
      <c r="N17" s="105">
        <f>1+(M17/100)</f>
        <v>1.2490276666666666</v>
      </c>
      <c r="O17" s="101">
        <f t="shared" si="5"/>
        <v>1.07</v>
      </c>
      <c r="P17" s="124">
        <f>ROUND(N17*O17,4)</f>
        <v>1.3365</v>
      </c>
      <c r="Q17" s="125">
        <v>18.1</v>
      </c>
      <c r="R17" s="126">
        <v>1</v>
      </c>
      <c r="S17" s="127">
        <f>R17/12*Q17*F17/12</f>
        <v>0.7541666666666668</v>
      </c>
      <c r="T17" s="105">
        <f>R17/12*J17</f>
        <v>0.5833333333333333</v>
      </c>
      <c r="U17" s="127">
        <v>0.625</v>
      </c>
      <c r="V17" s="127">
        <f>S17+T17+U17</f>
        <v>1.9625</v>
      </c>
      <c r="W17" s="127">
        <f>ROUND((N17+V17/100)*O17,4)</f>
        <v>1.3575</v>
      </c>
      <c r="X17" s="128">
        <f>ROUND((N17+2*(V17/100))*O17,4)</f>
        <v>1.3785</v>
      </c>
      <c r="Z17" s="38" t="s">
        <v>7</v>
      </c>
      <c r="AA17" s="39">
        <f>VLOOKUP(AA16,D16:D51,1)</f>
        <v>10</v>
      </c>
      <c r="AB17" s="50">
        <f>IF($W$6=1,VLOOKUP(AA17,$D$17:$X$51,20,FALSE),IF($W$6=2,VLOOKUP(AA17,$D$17:$X$51,21,FALSE),VLOOKUP(AA17,$D$17:$X$51,13,FALSE)))</f>
        <v>1.2916</v>
      </c>
      <c r="AC17" s="26" t="s">
        <v>62</v>
      </c>
      <c r="AD17" s="26" t="s">
        <v>61</v>
      </c>
    </row>
    <row r="18" spans="4:30" ht="19.5">
      <c r="D18" s="100">
        <v>10</v>
      </c>
      <c r="E18" s="101">
        <v>14.041</v>
      </c>
      <c r="F18" s="102">
        <v>9</v>
      </c>
      <c r="G18" s="102">
        <v>3</v>
      </c>
      <c r="H18" s="103">
        <f t="shared" si="0"/>
        <v>0</v>
      </c>
      <c r="I18" s="103">
        <f t="shared" si="1"/>
        <v>0</v>
      </c>
      <c r="J18" s="104">
        <f t="shared" si="2"/>
        <v>7</v>
      </c>
      <c r="K18" s="101">
        <f t="shared" si="3"/>
        <v>1.1666666666666667</v>
      </c>
      <c r="L18" s="101">
        <v>5.5</v>
      </c>
      <c r="M18" s="101">
        <f t="shared" si="4"/>
        <v>20.707666666666668</v>
      </c>
      <c r="N18" s="105">
        <f aca="true" t="shared" si="7" ref="N18:N52">1+(M18/100)</f>
        <v>1.2070766666666666</v>
      </c>
      <c r="O18" s="101">
        <f t="shared" si="5"/>
        <v>1.07</v>
      </c>
      <c r="P18" s="124">
        <f t="shared" si="6"/>
        <v>1.2916</v>
      </c>
      <c r="Q18" s="125">
        <v>13.8472</v>
      </c>
      <c r="R18" s="126">
        <v>1</v>
      </c>
      <c r="S18" s="127">
        <f>R18/12*Q18*F18/12</f>
        <v>0.8654499999999999</v>
      </c>
      <c r="T18" s="105">
        <f>R18/12*J18</f>
        <v>0.5833333333333333</v>
      </c>
      <c r="U18" s="127">
        <v>0.625</v>
      </c>
      <c r="V18" s="127">
        <f>S18+T18+U18</f>
        <v>2.073783333333333</v>
      </c>
      <c r="W18" s="127">
        <f>ROUND((N18+V18/100)*O18,4)</f>
        <v>1.3138</v>
      </c>
      <c r="X18" s="128">
        <f aca="true" t="shared" si="8" ref="X18:X52">ROUND((N18+2*(V18/100))*O18,4)</f>
        <v>1.336</v>
      </c>
      <c r="Z18" s="38" t="s">
        <v>9</v>
      </c>
      <c r="AA18" s="41">
        <f>MATCH(AA17,D16:D51)</f>
        <v>3</v>
      </c>
      <c r="AB18" s="50"/>
      <c r="AC18" s="26" t="s">
        <v>42</v>
      </c>
      <c r="AD18" s="26">
        <v>1</v>
      </c>
    </row>
    <row r="19" spans="4:30" ht="19.5">
      <c r="D19" s="100">
        <v>20</v>
      </c>
      <c r="E19" s="101">
        <v>9.7858</v>
      </c>
      <c r="F19" s="102">
        <v>12</v>
      </c>
      <c r="G19" s="102">
        <v>3</v>
      </c>
      <c r="H19" s="103">
        <f t="shared" si="0"/>
        <v>0</v>
      </c>
      <c r="I19" s="103">
        <f t="shared" si="1"/>
        <v>0</v>
      </c>
      <c r="J19" s="104">
        <f t="shared" si="2"/>
        <v>7</v>
      </c>
      <c r="K19" s="101">
        <f t="shared" si="3"/>
        <v>1.1666666666666667</v>
      </c>
      <c r="L19" s="101">
        <v>5.5</v>
      </c>
      <c r="M19" s="101">
        <f t="shared" si="4"/>
        <v>16.452466666666666</v>
      </c>
      <c r="N19" s="105">
        <f t="shared" si="7"/>
        <v>1.1645246666666667</v>
      </c>
      <c r="O19" s="101">
        <f t="shared" si="5"/>
        <v>1.07</v>
      </c>
      <c r="P19" s="124">
        <f t="shared" si="6"/>
        <v>1.246</v>
      </c>
      <c r="Q19" s="125">
        <v>9.5602</v>
      </c>
      <c r="R19" s="126">
        <v>1</v>
      </c>
      <c r="S19" s="127">
        <f>R19/12*Q19*F19/12</f>
        <v>0.7966833333333333</v>
      </c>
      <c r="T19" s="105">
        <f>R19/12*J19</f>
        <v>0.5833333333333333</v>
      </c>
      <c r="U19" s="127">
        <v>0.625</v>
      </c>
      <c r="V19" s="127">
        <f>S19+T19+U19</f>
        <v>2.0050166666666667</v>
      </c>
      <c r="W19" s="127">
        <f aca="true" t="shared" si="9" ref="W19:W52">ROUND((N19+V19/100)*O19,4)</f>
        <v>1.2675</v>
      </c>
      <c r="X19" s="128">
        <f t="shared" si="8"/>
        <v>1.2889</v>
      </c>
      <c r="Z19" s="42" t="s">
        <v>10</v>
      </c>
      <c r="AA19" s="41">
        <f>AA18+1</f>
        <v>4</v>
      </c>
      <c r="AB19" s="51"/>
      <c r="AC19" s="26" t="s">
        <v>43</v>
      </c>
      <c r="AD19" s="26">
        <v>1</v>
      </c>
    </row>
    <row r="20" spans="4:30" ht="19.5">
      <c r="D20" s="100">
        <v>30</v>
      </c>
      <c r="E20" s="101">
        <v>6.9082</v>
      </c>
      <c r="F20" s="102">
        <v>12</v>
      </c>
      <c r="G20" s="102">
        <v>3</v>
      </c>
      <c r="H20" s="103">
        <f t="shared" si="0"/>
        <v>0</v>
      </c>
      <c r="I20" s="103">
        <f t="shared" si="1"/>
        <v>0</v>
      </c>
      <c r="J20" s="104">
        <f t="shared" si="2"/>
        <v>7</v>
      </c>
      <c r="K20" s="101">
        <f t="shared" si="3"/>
        <v>1.1666666666666667</v>
      </c>
      <c r="L20" s="101">
        <v>5.5</v>
      </c>
      <c r="M20" s="101">
        <f t="shared" si="4"/>
        <v>13.574866666666667</v>
      </c>
      <c r="N20" s="105">
        <f t="shared" si="7"/>
        <v>1.1357486666666667</v>
      </c>
      <c r="O20" s="101">
        <f t="shared" si="5"/>
        <v>1.07</v>
      </c>
      <c r="P20" s="124">
        <f t="shared" si="6"/>
        <v>1.2153</v>
      </c>
      <c r="Q20" s="125">
        <v>6.6839</v>
      </c>
      <c r="R20" s="126">
        <v>1</v>
      </c>
      <c r="S20" s="127">
        <f aca="true" t="shared" si="10" ref="S20:S52">R20/12*Q20*F20/12</f>
        <v>0.5569916666666667</v>
      </c>
      <c r="T20" s="105">
        <f aca="true" t="shared" si="11" ref="T20:T52">R20/12*J20</f>
        <v>0.5833333333333333</v>
      </c>
      <c r="U20" s="127">
        <v>0.625</v>
      </c>
      <c r="V20" s="127">
        <f aca="true" t="shared" si="12" ref="V20:V52">S20+T20+U20</f>
        <v>1.7653249999999998</v>
      </c>
      <c r="W20" s="127">
        <f t="shared" si="9"/>
        <v>1.2341</v>
      </c>
      <c r="X20" s="128">
        <f t="shared" si="8"/>
        <v>1.253</v>
      </c>
      <c r="Z20" s="38" t="s">
        <v>8</v>
      </c>
      <c r="AA20" s="41">
        <f>INDEX(D16:D51,AA19)</f>
        <v>20</v>
      </c>
      <c r="AB20" s="50">
        <f>IF($W$6=1,VLOOKUP(AA20,$D$17:$X$51,20,FALSE),IF($W$6=2,VLOOKUP(AA20,$D$17:$X$51,21,FALSE),VLOOKUP(AA20,$D$17:$X$51,13,FALSE)))</f>
        <v>1.246</v>
      </c>
      <c r="AC20" s="26" t="s">
        <v>44</v>
      </c>
      <c r="AD20" s="26">
        <v>1</v>
      </c>
    </row>
    <row r="21" spans="4:30" ht="19.5">
      <c r="D21" s="100">
        <v>40</v>
      </c>
      <c r="E21" s="101">
        <v>6.9899</v>
      </c>
      <c r="F21" s="102">
        <v>16</v>
      </c>
      <c r="G21" s="102">
        <v>3</v>
      </c>
      <c r="H21" s="103">
        <f t="shared" si="0"/>
        <v>0</v>
      </c>
      <c r="I21" s="103">
        <f t="shared" si="1"/>
        <v>0</v>
      </c>
      <c r="J21" s="104">
        <f t="shared" si="2"/>
        <v>7</v>
      </c>
      <c r="K21" s="101">
        <f t="shared" si="3"/>
        <v>1.1666666666666667</v>
      </c>
      <c r="L21" s="101">
        <v>5</v>
      </c>
      <c r="M21" s="101">
        <f t="shared" si="4"/>
        <v>13.156566666666667</v>
      </c>
      <c r="N21" s="105">
        <f t="shared" si="7"/>
        <v>1.1315656666666667</v>
      </c>
      <c r="O21" s="101">
        <f t="shared" si="5"/>
        <v>1.07</v>
      </c>
      <c r="P21" s="124">
        <f t="shared" si="6"/>
        <v>1.2108</v>
      </c>
      <c r="Q21" s="125">
        <v>6.7238</v>
      </c>
      <c r="R21" s="126">
        <v>1</v>
      </c>
      <c r="S21" s="127">
        <f t="shared" si="10"/>
        <v>0.7470888888888888</v>
      </c>
      <c r="T21" s="105">
        <f t="shared" si="11"/>
        <v>0.5833333333333333</v>
      </c>
      <c r="U21" s="127">
        <v>0.625</v>
      </c>
      <c r="V21" s="127">
        <f t="shared" si="12"/>
        <v>1.955422222222222</v>
      </c>
      <c r="W21" s="127">
        <f t="shared" si="9"/>
        <v>1.2317</v>
      </c>
      <c r="X21" s="128">
        <f t="shared" si="8"/>
        <v>1.2526</v>
      </c>
      <c r="Z21" s="38" t="s">
        <v>12</v>
      </c>
      <c r="AA21" s="41"/>
      <c r="AB21" s="50">
        <f>ROUND((AB17-((AB17-AB20)*(AA16-AA17)/(AA20-AA17))),4)</f>
        <v>1.2551</v>
      </c>
      <c r="AC21" s="26" t="s">
        <v>45</v>
      </c>
      <c r="AD21" s="26">
        <v>1</v>
      </c>
    </row>
    <row r="22" spans="4:30" ht="19.5">
      <c r="D22" s="100">
        <v>50</v>
      </c>
      <c r="E22" s="101">
        <v>6.4552</v>
      </c>
      <c r="F22" s="102">
        <v>18</v>
      </c>
      <c r="G22" s="102">
        <v>3</v>
      </c>
      <c r="H22" s="103">
        <f t="shared" si="0"/>
        <v>0</v>
      </c>
      <c r="I22" s="103">
        <f t="shared" si="1"/>
        <v>0</v>
      </c>
      <c r="J22" s="104">
        <f t="shared" si="2"/>
        <v>7</v>
      </c>
      <c r="K22" s="101">
        <f t="shared" si="3"/>
        <v>1.1666666666666667</v>
      </c>
      <c r="L22" s="101">
        <v>5</v>
      </c>
      <c r="M22" s="101">
        <f t="shared" si="4"/>
        <v>12.621866666666666</v>
      </c>
      <c r="N22" s="105">
        <f t="shared" si="7"/>
        <v>1.1262186666666667</v>
      </c>
      <c r="O22" s="101">
        <f t="shared" si="5"/>
        <v>1.07</v>
      </c>
      <c r="P22" s="124">
        <f t="shared" si="6"/>
        <v>1.2051</v>
      </c>
      <c r="Q22" s="125">
        <v>6.1674</v>
      </c>
      <c r="R22" s="126">
        <v>1</v>
      </c>
      <c r="S22" s="127">
        <f t="shared" si="10"/>
        <v>0.7709249999999997</v>
      </c>
      <c r="T22" s="105">
        <f t="shared" si="11"/>
        <v>0.5833333333333333</v>
      </c>
      <c r="U22" s="127">
        <v>0.625</v>
      </c>
      <c r="V22" s="127">
        <f t="shared" si="12"/>
        <v>1.9792583333333331</v>
      </c>
      <c r="W22" s="127">
        <f t="shared" si="9"/>
        <v>1.2262</v>
      </c>
      <c r="X22" s="128">
        <f t="shared" si="8"/>
        <v>1.2474</v>
      </c>
      <c r="Z22" s="38">
        <v>0</v>
      </c>
      <c r="AA22" s="43">
        <v>5</v>
      </c>
      <c r="AB22" s="38">
        <v>7</v>
      </c>
      <c r="AC22" s="26" t="s">
        <v>47</v>
      </c>
      <c r="AD22" s="26">
        <v>1</v>
      </c>
    </row>
    <row r="23" spans="4:30" ht="19.5">
      <c r="D23" s="100">
        <v>60</v>
      </c>
      <c r="E23" s="101">
        <v>5.5919</v>
      </c>
      <c r="F23" s="102">
        <v>18</v>
      </c>
      <c r="G23" s="102">
        <v>3</v>
      </c>
      <c r="H23" s="103">
        <f t="shared" si="0"/>
        <v>0</v>
      </c>
      <c r="I23" s="103">
        <f t="shared" si="1"/>
        <v>0</v>
      </c>
      <c r="J23" s="104">
        <f t="shared" si="2"/>
        <v>7</v>
      </c>
      <c r="K23" s="101">
        <f t="shared" si="3"/>
        <v>1.1666666666666667</v>
      </c>
      <c r="L23" s="101">
        <v>5</v>
      </c>
      <c r="M23" s="101">
        <f t="shared" si="4"/>
        <v>11.758566666666667</v>
      </c>
      <c r="N23" s="105">
        <f t="shared" si="7"/>
        <v>1.1175856666666666</v>
      </c>
      <c r="O23" s="101">
        <f t="shared" si="5"/>
        <v>1.07</v>
      </c>
      <c r="P23" s="124">
        <f t="shared" si="6"/>
        <v>1.1958</v>
      </c>
      <c r="Q23" s="125">
        <v>5.303</v>
      </c>
      <c r="R23" s="126">
        <v>1</v>
      </c>
      <c r="S23" s="127">
        <f t="shared" si="10"/>
        <v>0.662875</v>
      </c>
      <c r="T23" s="105">
        <f t="shared" si="11"/>
        <v>0.5833333333333333</v>
      </c>
      <c r="U23" s="127">
        <v>0.625</v>
      </c>
      <c r="V23" s="127">
        <f t="shared" si="12"/>
        <v>1.8712083333333331</v>
      </c>
      <c r="W23" s="127">
        <f t="shared" si="9"/>
        <v>1.2158</v>
      </c>
      <c r="X23" s="128">
        <f t="shared" si="8"/>
        <v>1.2359</v>
      </c>
      <c r="Z23" s="38">
        <v>5</v>
      </c>
      <c r="AA23" s="43">
        <v>6</v>
      </c>
      <c r="AB23" s="38">
        <v>10</v>
      </c>
      <c r="AC23" s="26" t="s">
        <v>48</v>
      </c>
      <c r="AD23" s="26">
        <v>1</v>
      </c>
    </row>
    <row r="24" spans="4:30" ht="19.5">
      <c r="D24" s="100">
        <v>70</v>
      </c>
      <c r="E24" s="101">
        <v>5.4048</v>
      </c>
      <c r="F24" s="102">
        <v>19</v>
      </c>
      <c r="G24" s="102">
        <v>3</v>
      </c>
      <c r="H24" s="103">
        <f t="shared" si="0"/>
        <v>0</v>
      </c>
      <c r="I24" s="103">
        <f t="shared" si="1"/>
        <v>0</v>
      </c>
      <c r="J24" s="104">
        <f t="shared" si="2"/>
        <v>7</v>
      </c>
      <c r="K24" s="101">
        <f t="shared" si="3"/>
        <v>1.1666666666666667</v>
      </c>
      <c r="L24" s="101">
        <v>4.5</v>
      </c>
      <c r="M24" s="101">
        <f t="shared" si="4"/>
        <v>11.071466666666666</v>
      </c>
      <c r="N24" s="105">
        <f t="shared" si="7"/>
        <v>1.1107146666666667</v>
      </c>
      <c r="O24" s="101">
        <f t="shared" si="5"/>
        <v>1.07</v>
      </c>
      <c r="P24" s="124">
        <f t="shared" si="6"/>
        <v>1.1885</v>
      </c>
      <c r="Q24" s="125">
        <v>5.107</v>
      </c>
      <c r="R24" s="126">
        <v>1</v>
      </c>
      <c r="S24" s="127">
        <f t="shared" si="10"/>
        <v>0.6738402777777778</v>
      </c>
      <c r="T24" s="105">
        <f t="shared" si="11"/>
        <v>0.5833333333333333</v>
      </c>
      <c r="U24" s="127">
        <v>0.625</v>
      </c>
      <c r="V24" s="127">
        <f t="shared" si="12"/>
        <v>1.882173611111111</v>
      </c>
      <c r="W24" s="127">
        <f t="shared" si="9"/>
        <v>1.2086</v>
      </c>
      <c r="X24" s="128">
        <f t="shared" si="8"/>
        <v>1.2287</v>
      </c>
      <c r="Z24" s="38">
        <v>10</v>
      </c>
      <c r="AA24" s="44">
        <v>7</v>
      </c>
      <c r="AB24" s="38"/>
      <c r="AC24" s="26" t="s">
        <v>50</v>
      </c>
      <c r="AD24" s="26">
        <v>1</v>
      </c>
    </row>
    <row r="25" spans="4:30" ht="19.5">
      <c r="D25" s="100">
        <v>80</v>
      </c>
      <c r="E25" s="101">
        <v>5.1508</v>
      </c>
      <c r="F25" s="102">
        <v>20</v>
      </c>
      <c r="G25" s="102">
        <v>3</v>
      </c>
      <c r="H25" s="103">
        <f t="shared" si="0"/>
        <v>0</v>
      </c>
      <c r="I25" s="103">
        <f t="shared" si="1"/>
        <v>0</v>
      </c>
      <c r="J25" s="104">
        <f t="shared" si="2"/>
        <v>7</v>
      </c>
      <c r="K25" s="101">
        <f t="shared" si="3"/>
        <v>1.1666666666666667</v>
      </c>
      <c r="L25" s="101">
        <v>4.5</v>
      </c>
      <c r="M25" s="101">
        <f t="shared" si="4"/>
        <v>10.817466666666668</v>
      </c>
      <c r="N25" s="105">
        <f t="shared" si="7"/>
        <v>1.1081746666666668</v>
      </c>
      <c r="O25" s="101">
        <f t="shared" si="5"/>
        <v>1.07</v>
      </c>
      <c r="P25" s="124">
        <f t="shared" si="6"/>
        <v>1.1857</v>
      </c>
      <c r="Q25" s="125">
        <v>4.8426</v>
      </c>
      <c r="R25" s="126">
        <v>1</v>
      </c>
      <c r="S25" s="127">
        <f t="shared" si="10"/>
        <v>0.6725833333333333</v>
      </c>
      <c r="T25" s="105">
        <f t="shared" si="11"/>
        <v>0.5833333333333333</v>
      </c>
      <c r="U25" s="127">
        <v>0.625</v>
      </c>
      <c r="V25" s="127">
        <f t="shared" si="12"/>
        <v>1.8809166666666666</v>
      </c>
      <c r="W25" s="127">
        <f t="shared" si="9"/>
        <v>1.2059</v>
      </c>
      <c r="X25" s="128">
        <f t="shared" si="8"/>
        <v>1.226</v>
      </c>
      <c r="Z25" s="38">
        <v>15</v>
      </c>
      <c r="AA25" s="44">
        <v>8</v>
      </c>
      <c r="AB25" s="38"/>
      <c r="AC25" s="26" t="s">
        <v>51</v>
      </c>
      <c r="AD25" s="26">
        <v>1</v>
      </c>
    </row>
    <row r="26" spans="4:30" ht="19.5">
      <c r="D26" s="100">
        <v>90</v>
      </c>
      <c r="E26" s="101">
        <v>4.7692</v>
      </c>
      <c r="F26" s="102">
        <v>20</v>
      </c>
      <c r="G26" s="102">
        <v>3</v>
      </c>
      <c r="H26" s="103">
        <f t="shared" si="0"/>
        <v>0</v>
      </c>
      <c r="I26" s="103">
        <f t="shared" si="1"/>
        <v>0</v>
      </c>
      <c r="J26" s="104">
        <f t="shared" si="2"/>
        <v>7</v>
      </c>
      <c r="K26" s="101">
        <f t="shared" si="3"/>
        <v>1.1666666666666667</v>
      </c>
      <c r="L26" s="101">
        <v>4.5</v>
      </c>
      <c r="M26" s="101">
        <f t="shared" si="4"/>
        <v>10.435866666666666</v>
      </c>
      <c r="N26" s="105">
        <f t="shared" si="7"/>
        <v>1.1043586666666667</v>
      </c>
      <c r="O26" s="101">
        <f t="shared" si="5"/>
        <v>1.07</v>
      </c>
      <c r="P26" s="124">
        <f t="shared" si="6"/>
        <v>1.1817</v>
      </c>
      <c r="Q26" s="125">
        <v>4.4597</v>
      </c>
      <c r="R26" s="126">
        <v>1</v>
      </c>
      <c r="S26" s="127">
        <f t="shared" si="10"/>
        <v>0.6194027777777777</v>
      </c>
      <c r="T26" s="105">
        <f t="shared" si="11"/>
        <v>0.5833333333333333</v>
      </c>
      <c r="U26" s="127">
        <v>0.625</v>
      </c>
      <c r="V26" s="127">
        <f t="shared" si="12"/>
        <v>1.827736111111111</v>
      </c>
      <c r="W26" s="127">
        <f t="shared" si="9"/>
        <v>1.2012</v>
      </c>
      <c r="X26" s="128">
        <f t="shared" si="8"/>
        <v>1.2208</v>
      </c>
      <c r="Z26" s="38"/>
      <c r="AA26" s="43">
        <v>9</v>
      </c>
      <c r="AB26" s="38"/>
      <c r="AC26" s="26" t="s">
        <v>53</v>
      </c>
      <c r="AD26" s="26">
        <v>1</v>
      </c>
    </row>
    <row r="27" spans="4:30" ht="19.5">
      <c r="D27" s="100">
        <v>100</v>
      </c>
      <c r="E27" s="101">
        <v>4.4639</v>
      </c>
      <c r="F27" s="102">
        <v>20</v>
      </c>
      <c r="G27" s="102">
        <v>3</v>
      </c>
      <c r="H27" s="103">
        <f t="shared" si="0"/>
        <v>0</v>
      </c>
      <c r="I27" s="103">
        <f t="shared" si="1"/>
        <v>0</v>
      </c>
      <c r="J27" s="104">
        <f t="shared" si="2"/>
        <v>7</v>
      </c>
      <c r="K27" s="101">
        <f t="shared" si="3"/>
        <v>1.1666666666666667</v>
      </c>
      <c r="L27" s="101">
        <v>4.5</v>
      </c>
      <c r="M27" s="101">
        <f t="shared" si="4"/>
        <v>10.130566666666667</v>
      </c>
      <c r="N27" s="105">
        <f t="shared" si="7"/>
        <v>1.1013056666666667</v>
      </c>
      <c r="O27" s="101">
        <f t="shared" si="5"/>
        <v>1.07</v>
      </c>
      <c r="P27" s="124">
        <f t="shared" si="6"/>
        <v>1.1784</v>
      </c>
      <c r="Q27" s="125">
        <v>4.1556</v>
      </c>
      <c r="R27" s="126">
        <v>1</v>
      </c>
      <c r="S27" s="127">
        <f t="shared" si="10"/>
        <v>0.5771666666666665</v>
      </c>
      <c r="T27" s="105">
        <f t="shared" si="11"/>
        <v>0.5833333333333333</v>
      </c>
      <c r="U27" s="127">
        <v>0.625</v>
      </c>
      <c r="V27" s="127">
        <f t="shared" si="12"/>
        <v>1.7854999999999999</v>
      </c>
      <c r="W27" s="127">
        <f t="shared" si="9"/>
        <v>1.1975</v>
      </c>
      <c r="X27" s="128">
        <f t="shared" si="8"/>
        <v>1.2166</v>
      </c>
      <c r="Z27" s="38"/>
      <c r="AA27" s="43">
        <v>10</v>
      </c>
      <c r="AB27" s="38"/>
      <c r="AC27" s="26" t="s">
        <v>57</v>
      </c>
      <c r="AD27" s="26">
        <v>1</v>
      </c>
    </row>
    <row r="28" spans="4:30" ht="19.5">
      <c r="D28" s="100">
        <v>110</v>
      </c>
      <c r="E28" s="101">
        <v>4.3795</v>
      </c>
      <c r="F28" s="102">
        <v>21</v>
      </c>
      <c r="G28" s="102">
        <v>3</v>
      </c>
      <c r="H28" s="103">
        <f t="shared" si="0"/>
        <v>0</v>
      </c>
      <c r="I28" s="103">
        <f t="shared" si="1"/>
        <v>0</v>
      </c>
      <c r="J28" s="104">
        <f t="shared" si="2"/>
        <v>7</v>
      </c>
      <c r="K28" s="101">
        <f t="shared" si="3"/>
        <v>1.1666666666666667</v>
      </c>
      <c r="L28" s="101">
        <v>4</v>
      </c>
      <c r="M28" s="101">
        <f t="shared" si="4"/>
        <v>9.546166666666668</v>
      </c>
      <c r="N28" s="105">
        <f t="shared" si="7"/>
        <v>1.0954616666666668</v>
      </c>
      <c r="O28" s="101">
        <f t="shared" si="5"/>
        <v>1.07</v>
      </c>
      <c r="P28" s="124">
        <f t="shared" si="6"/>
        <v>1.1721</v>
      </c>
      <c r="Q28" s="125">
        <v>4.0605</v>
      </c>
      <c r="R28" s="126">
        <v>1</v>
      </c>
      <c r="S28" s="127">
        <f t="shared" si="10"/>
        <v>0.5921562499999999</v>
      </c>
      <c r="T28" s="105">
        <f t="shared" si="11"/>
        <v>0.5833333333333333</v>
      </c>
      <c r="U28" s="127">
        <v>0.625</v>
      </c>
      <c r="V28" s="127">
        <f t="shared" si="12"/>
        <v>1.8004895833333332</v>
      </c>
      <c r="W28" s="127">
        <f t="shared" si="9"/>
        <v>1.1914</v>
      </c>
      <c r="X28" s="128">
        <f t="shared" si="8"/>
        <v>1.2107</v>
      </c>
      <c r="AC28" s="26" t="s">
        <v>58</v>
      </c>
      <c r="AD28" s="26">
        <v>1</v>
      </c>
    </row>
    <row r="29" spans="4:30" ht="19.5">
      <c r="D29" s="100">
        <v>120</v>
      </c>
      <c r="E29" s="101">
        <v>4.3158</v>
      </c>
      <c r="F29" s="102">
        <v>22</v>
      </c>
      <c r="G29" s="102">
        <v>3</v>
      </c>
      <c r="H29" s="103">
        <f t="shared" si="0"/>
        <v>0</v>
      </c>
      <c r="I29" s="103">
        <f t="shared" si="1"/>
        <v>0</v>
      </c>
      <c r="J29" s="104">
        <f t="shared" si="2"/>
        <v>7</v>
      </c>
      <c r="K29" s="101">
        <f t="shared" si="3"/>
        <v>1.1666666666666667</v>
      </c>
      <c r="L29" s="101">
        <v>4</v>
      </c>
      <c r="M29" s="101">
        <f t="shared" si="4"/>
        <v>9.482466666666667</v>
      </c>
      <c r="N29" s="105">
        <f t="shared" si="7"/>
        <v>1.0948246666666668</v>
      </c>
      <c r="O29" s="101">
        <f t="shared" si="5"/>
        <v>1.07</v>
      </c>
      <c r="P29" s="124">
        <f t="shared" si="6"/>
        <v>1.1715</v>
      </c>
      <c r="Q29" s="125">
        <v>3.9862</v>
      </c>
      <c r="R29" s="126">
        <v>1</v>
      </c>
      <c r="S29" s="127">
        <f t="shared" si="10"/>
        <v>0.6090027777777778</v>
      </c>
      <c r="T29" s="105">
        <f t="shared" si="11"/>
        <v>0.5833333333333333</v>
      </c>
      <c r="U29" s="127">
        <v>0.625</v>
      </c>
      <c r="V29" s="127">
        <f t="shared" si="12"/>
        <v>1.817336111111111</v>
      </c>
      <c r="W29" s="127">
        <f t="shared" si="9"/>
        <v>1.1909</v>
      </c>
      <c r="X29" s="128">
        <f t="shared" si="8"/>
        <v>1.2104</v>
      </c>
      <c r="AC29" s="26" t="s">
        <v>59</v>
      </c>
      <c r="AD29" s="26">
        <v>1</v>
      </c>
    </row>
    <row r="30" spans="4:30" ht="19.5">
      <c r="D30" s="100">
        <v>130</v>
      </c>
      <c r="E30" s="101">
        <v>4.1221</v>
      </c>
      <c r="F30" s="102">
        <v>22</v>
      </c>
      <c r="G30" s="102">
        <v>3</v>
      </c>
      <c r="H30" s="103">
        <f t="shared" si="0"/>
        <v>0</v>
      </c>
      <c r="I30" s="103">
        <f t="shared" si="1"/>
        <v>0</v>
      </c>
      <c r="J30" s="104">
        <f t="shared" si="2"/>
        <v>7</v>
      </c>
      <c r="K30" s="101">
        <f t="shared" si="3"/>
        <v>1.1666666666666667</v>
      </c>
      <c r="L30" s="101">
        <v>4</v>
      </c>
      <c r="M30" s="101">
        <f t="shared" si="4"/>
        <v>9.288766666666668</v>
      </c>
      <c r="N30" s="105">
        <f t="shared" si="7"/>
        <v>1.0928876666666667</v>
      </c>
      <c r="O30" s="101">
        <f t="shared" si="5"/>
        <v>1.07</v>
      </c>
      <c r="P30" s="124">
        <f t="shared" si="6"/>
        <v>1.1694</v>
      </c>
      <c r="Q30" s="125">
        <v>3.7932</v>
      </c>
      <c r="R30" s="126">
        <v>1</v>
      </c>
      <c r="S30" s="127">
        <f t="shared" si="10"/>
        <v>0.5795166666666667</v>
      </c>
      <c r="T30" s="105">
        <f t="shared" si="11"/>
        <v>0.5833333333333333</v>
      </c>
      <c r="U30" s="127">
        <v>0.625</v>
      </c>
      <c r="V30" s="127">
        <f t="shared" si="12"/>
        <v>1.78785</v>
      </c>
      <c r="W30" s="127">
        <f t="shared" si="9"/>
        <v>1.1885</v>
      </c>
      <c r="X30" s="128">
        <f t="shared" si="8"/>
        <v>1.2076</v>
      </c>
      <c r="AC30" s="26" t="s">
        <v>60</v>
      </c>
      <c r="AD30" s="26">
        <v>1</v>
      </c>
    </row>
    <row r="31" spans="4:30" ht="19.5">
      <c r="D31" s="100">
        <v>140</v>
      </c>
      <c r="E31" s="101">
        <v>3.956</v>
      </c>
      <c r="F31" s="102">
        <v>22</v>
      </c>
      <c r="G31" s="102">
        <v>3</v>
      </c>
      <c r="H31" s="103">
        <f t="shared" si="0"/>
        <v>0</v>
      </c>
      <c r="I31" s="103">
        <f t="shared" si="1"/>
        <v>0</v>
      </c>
      <c r="J31" s="104">
        <f t="shared" si="2"/>
        <v>7</v>
      </c>
      <c r="K31" s="101">
        <f aca="true" t="shared" si="13" ref="K31:K37">(-1)*(J31/12)*((I31/100)+((F31+G31-1)*(H31/100))-(((H31+I31)/100)*((F31+1)/2))-(G31-1))</f>
        <v>1.1666666666666667</v>
      </c>
      <c r="L31" s="101">
        <v>4</v>
      </c>
      <c r="M31" s="101">
        <f t="shared" si="4"/>
        <v>9.122666666666667</v>
      </c>
      <c r="N31" s="105">
        <f t="shared" si="7"/>
        <v>1.0912266666666666</v>
      </c>
      <c r="O31" s="101">
        <f t="shared" si="5"/>
        <v>1.07</v>
      </c>
      <c r="P31" s="124">
        <f t="shared" si="6"/>
        <v>1.1676</v>
      </c>
      <c r="Q31" s="125">
        <v>3.6258</v>
      </c>
      <c r="R31" s="126">
        <v>1</v>
      </c>
      <c r="S31" s="127">
        <f t="shared" si="10"/>
        <v>0.5539416666666667</v>
      </c>
      <c r="T31" s="105">
        <f t="shared" si="11"/>
        <v>0.5833333333333333</v>
      </c>
      <c r="U31" s="127">
        <v>0.625</v>
      </c>
      <c r="V31" s="127">
        <f t="shared" si="12"/>
        <v>1.7622749999999998</v>
      </c>
      <c r="W31" s="127">
        <f t="shared" si="9"/>
        <v>1.1865</v>
      </c>
      <c r="X31" s="128">
        <f t="shared" si="8"/>
        <v>1.2053</v>
      </c>
      <c r="AC31" s="26" t="s">
        <v>46</v>
      </c>
      <c r="AD31" s="26">
        <v>2</v>
      </c>
    </row>
    <row r="32" spans="4:30" ht="19.5">
      <c r="D32" s="100">
        <v>150</v>
      </c>
      <c r="E32" s="101">
        <v>3.8121</v>
      </c>
      <c r="F32" s="102">
        <v>22</v>
      </c>
      <c r="G32" s="102">
        <v>3</v>
      </c>
      <c r="H32" s="103">
        <f t="shared" si="0"/>
        <v>0</v>
      </c>
      <c r="I32" s="103">
        <f t="shared" si="1"/>
        <v>0</v>
      </c>
      <c r="J32" s="104">
        <f t="shared" si="2"/>
        <v>7</v>
      </c>
      <c r="K32" s="101">
        <f t="shared" si="13"/>
        <v>1.1666666666666667</v>
      </c>
      <c r="L32" s="101">
        <v>4</v>
      </c>
      <c r="M32" s="101">
        <f t="shared" si="4"/>
        <v>8.978766666666667</v>
      </c>
      <c r="N32" s="105">
        <f t="shared" si="7"/>
        <v>1.0897876666666666</v>
      </c>
      <c r="O32" s="101">
        <f t="shared" si="5"/>
        <v>1.07</v>
      </c>
      <c r="P32" s="124">
        <f t="shared" si="6"/>
        <v>1.1661</v>
      </c>
      <c r="Q32" s="125">
        <v>3.4832</v>
      </c>
      <c r="R32" s="126">
        <v>1</v>
      </c>
      <c r="S32" s="127">
        <f t="shared" si="10"/>
        <v>0.5321555555555556</v>
      </c>
      <c r="T32" s="105">
        <f t="shared" si="11"/>
        <v>0.5833333333333333</v>
      </c>
      <c r="U32" s="127">
        <v>0.625</v>
      </c>
      <c r="V32" s="127">
        <f t="shared" si="12"/>
        <v>1.7404888888888888</v>
      </c>
      <c r="W32" s="127">
        <f t="shared" si="9"/>
        <v>1.1847</v>
      </c>
      <c r="X32" s="128">
        <f t="shared" si="8"/>
        <v>1.2033</v>
      </c>
      <c r="AC32" s="26" t="s">
        <v>49</v>
      </c>
      <c r="AD32" s="26">
        <v>2</v>
      </c>
    </row>
    <row r="33" spans="4:30" ht="19.5">
      <c r="D33" s="100">
        <v>160</v>
      </c>
      <c r="E33" s="101">
        <v>3.7934</v>
      </c>
      <c r="F33" s="102">
        <v>22</v>
      </c>
      <c r="G33" s="102">
        <v>3</v>
      </c>
      <c r="H33" s="103">
        <f t="shared" si="0"/>
        <v>0</v>
      </c>
      <c r="I33" s="103">
        <f t="shared" si="1"/>
        <v>0</v>
      </c>
      <c r="J33" s="104">
        <f t="shared" si="2"/>
        <v>7</v>
      </c>
      <c r="K33" s="101">
        <f t="shared" si="13"/>
        <v>1.1666666666666667</v>
      </c>
      <c r="L33" s="101">
        <v>4</v>
      </c>
      <c r="M33" s="101">
        <f t="shared" si="4"/>
        <v>8.960066666666666</v>
      </c>
      <c r="N33" s="105">
        <f t="shared" si="7"/>
        <v>1.0896006666666667</v>
      </c>
      <c r="O33" s="101">
        <f t="shared" si="5"/>
        <v>1.07</v>
      </c>
      <c r="P33" s="124">
        <f t="shared" si="6"/>
        <v>1.1659</v>
      </c>
      <c r="Q33" s="125">
        <v>3.464</v>
      </c>
      <c r="R33" s="126">
        <v>1</v>
      </c>
      <c r="S33" s="127">
        <f t="shared" si="10"/>
        <v>0.5292222222222221</v>
      </c>
      <c r="T33" s="105">
        <f t="shared" si="11"/>
        <v>0.5833333333333333</v>
      </c>
      <c r="U33" s="127">
        <v>0.625</v>
      </c>
      <c r="V33" s="127">
        <f t="shared" si="12"/>
        <v>1.7375555555555553</v>
      </c>
      <c r="W33" s="127">
        <f t="shared" si="9"/>
        <v>1.1845</v>
      </c>
      <c r="X33" s="128">
        <f t="shared" si="8"/>
        <v>1.2031</v>
      </c>
      <c r="AC33" s="26" t="s">
        <v>52</v>
      </c>
      <c r="AD33" s="26">
        <v>2</v>
      </c>
    </row>
    <row r="34" spans="4:30" ht="19.5">
      <c r="D34" s="100">
        <v>170</v>
      </c>
      <c r="E34" s="101">
        <v>3.7057</v>
      </c>
      <c r="F34" s="102">
        <v>22</v>
      </c>
      <c r="G34" s="102">
        <v>3</v>
      </c>
      <c r="H34" s="103">
        <f t="shared" si="0"/>
        <v>0</v>
      </c>
      <c r="I34" s="103">
        <f t="shared" si="1"/>
        <v>0</v>
      </c>
      <c r="J34" s="104">
        <f t="shared" si="2"/>
        <v>7</v>
      </c>
      <c r="K34" s="101">
        <f t="shared" si="13"/>
        <v>1.1666666666666667</v>
      </c>
      <c r="L34" s="101">
        <v>4</v>
      </c>
      <c r="M34" s="101">
        <f t="shared" si="4"/>
        <v>8.872366666666668</v>
      </c>
      <c r="N34" s="105">
        <f t="shared" si="7"/>
        <v>1.0887236666666666</v>
      </c>
      <c r="O34" s="101">
        <f t="shared" si="5"/>
        <v>1.07</v>
      </c>
      <c r="P34" s="124">
        <f t="shared" si="6"/>
        <v>1.1649</v>
      </c>
      <c r="Q34" s="125">
        <v>3.3761</v>
      </c>
      <c r="R34" s="126">
        <v>1</v>
      </c>
      <c r="S34" s="127">
        <f t="shared" si="10"/>
        <v>0.5157930555555555</v>
      </c>
      <c r="T34" s="105">
        <f t="shared" si="11"/>
        <v>0.5833333333333333</v>
      </c>
      <c r="U34" s="127">
        <v>0.625</v>
      </c>
      <c r="V34" s="127">
        <f t="shared" si="12"/>
        <v>1.7241263888888887</v>
      </c>
      <c r="W34" s="127">
        <f t="shared" si="9"/>
        <v>1.1834</v>
      </c>
      <c r="X34" s="128">
        <f t="shared" si="8"/>
        <v>1.2018</v>
      </c>
      <c r="AC34" s="26" t="s">
        <v>54</v>
      </c>
      <c r="AD34" s="26">
        <v>2</v>
      </c>
    </row>
    <row r="35" spans="4:30" ht="19.5">
      <c r="D35" s="100">
        <v>180</v>
      </c>
      <c r="E35" s="101">
        <v>3.6034</v>
      </c>
      <c r="F35" s="102">
        <v>22</v>
      </c>
      <c r="G35" s="102">
        <v>3</v>
      </c>
      <c r="H35" s="103">
        <f t="shared" si="0"/>
        <v>0</v>
      </c>
      <c r="I35" s="103">
        <f t="shared" si="1"/>
        <v>0</v>
      </c>
      <c r="J35" s="104">
        <f t="shared" si="2"/>
        <v>7</v>
      </c>
      <c r="K35" s="101">
        <f t="shared" si="13"/>
        <v>1.1666666666666667</v>
      </c>
      <c r="L35" s="101">
        <v>4</v>
      </c>
      <c r="M35" s="101">
        <f t="shared" si="4"/>
        <v>8.770066666666667</v>
      </c>
      <c r="N35" s="105">
        <f t="shared" si="7"/>
        <v>1.0877006666666666</v>
      </c>
      <c r="O35" s="101">
        <f t="shared" si="5"/>
        <v>1.07</v>
      </c>
      <c r="P35" s="124">
        <f>ROUND(N35*O35,4)</f>
        <v>1.1638</v>
      </c>
      <c r="Q35" s="125">
        <v>3.2745</v>
      </c>
      <c r="R35" s="126">
        <v>1</v>
      </c>
      <c r="S35" s="127">
        <f t="shared" si="10"/>
        <v>0.5002708333333333</v>
      </c>
      <c r="T35" s="105">
        <f t="shared" si="11"/>
        <v>0.5833333333333333</v>
      </c>
      <c r="U35" s="127">
        <v>0.625</v>
      </c>
      <c r="V35" s="127">
        <f t="shared" si="12"/>
        <v>1.7086041666666665</v>
      </c>
      <c r="W35" s="127">
        <f t="shared" si="9"/>
        <v>1.1821</v>
      </c>
      <c r="X35" s="128">
        <f t="shared" si="8"/>
        <v>1.2004</v>
      </c>
      <c r="AC35" s="26" t="s">
        <v>55</v>
      </c>
      <c r="AD35" s="26">
        <v>2</v>
      </c>
    </row>
    <row r="36" spans="4:30" ht="19.5">
      <c r="D36" s="100">
        <v>190</v>
      </c>
      <c r="E36" s="101">
        <v>3.6301</v>
      </c>
      <c r="F36" s="102">
        <v>23</v>
      </c>
      <c r="G36" s="102">
        <v>3</v>
      </c>
      <c r="H36" s="103">
        <f t="shared" si="0"/>
        <v>0</v>
      </c>
      <c r="I36" s="103">
        <f t="shared" si="1"/>
        <v>0</v>
      </c>
      <c r="J36" s="104">
        <f t="shared" si="2"/>
        <v>7</v>
      </c>
      <c r="K36" s="101">
        <f t="shared" si="13"/>
        <v>1.1666666666666667</v>
      </c>
      <c r="L36" s="101">
        <v>3.5</v>
      </c>
      <c r="M36" s="101">
        <f t="shared" si="4"/>
        <v>8.296766666666667</v>
      </c>
      <c r="N36" s="105">
        <f t="shared" si="7"/>
        <v>1.0829676666666668</v>
      </c>
      <c r="O36" s="101">
        <f t="shared" si="5"/>
        <v>1.07</v>
      </c>
      <c r="P36" s="124">
        <f>ROUND(N36*O36,4)</f>
        <v>1.1588</v>
      </c>
      <c r="Q36" s="125">
        <v>3.2907</v>
      </c>
      <c r="R36" s="126">
        <v>1</v>
      </c>
      <c r="S36" s="127">
        <f t="shared" si="10"/>
        <v>0.5255979166666667</v>
      </c>
      <c r="T36" s="105">
        <f t="shared" si="11"/>
        <v>0.5833333333333333</v>
      </c>
      <c r="U36" s="127">
        <v>0.625</v>
      </c>
      <c r="V36" s="127">
        <f t="shared" si="12"/>
        <v>1.73393125</v>
      </c>
      <c r="W36" s="127">
        <f t="shared" si="9"/>
        <v>1.1773</v>
      </c>
      <c r="X36" s="128">
        <f t="shared" si="8"/>
        <v>1.1959</v>
      </c>
      <c r="AC36" s="26" t="s">
        <v>56</v>
      </c>
      <c r="AD36" s="26">
        <v>2</v>
      </c>
    </row>
    <row r="37" spans="4:30" ht="19.5">
      <c r="D37" s="100">
        <v>200</v>
      </c>
      <c r="E37" s="101">
        <v>3.544</v>
      </c>
      <c r="F37" s="102">
        <v>23</v>
      </c>
      <c r="G37" s="102">
        <v>3</v>
      </c>
      <c r="H37" s="103">
        <f t="shared" si="0"/>
        <v>0</v>
      </c>
      <c r="I37" s="103">
        <f t="shared" si="1"/>
        <v>0</v>
      </c>
      <c r="J37" s="104">
        <f t="shared" si="2"/>
        <v>7</v>
      </c>
      <c r="K37" s="101">
        <f t="shared" si="13"/>
        <v>1.1666666666666667</v>
      </c>
      <c r="L37" s="101">
        <v>3.5</v>
      </c>
      <c r="M37" s="101">
        <f t="shared" si="4"/>
        <v>8.210666666666667</v>
      </c>
      <c r="N37" s="105">
        <f t="shared" si="7"/>
        <v>1.0821066666666668</v>
      </c>
      <c r="O37" s="101">
        <f t="shared" si="5"/>
        <v>1.07</v>
      </c>
      <c r="P37" s="124">
        <f>ROUND(N37*O37,4)</f>
        <v>1.1579</v>
      </c>
      <c r="Q37" s="125">
        <v>3.2045</v>
      </c>
      <c r="R37" s="126">
        <v>1</v>
      </c>
      <c r="S37" s="127">
        <f t="shared" si="10"/>
        <v>0.5118298611111111</v>
      </c>
      <c r="T37" s="105">
        <f t="shared" si="11"/>
        <v>0.5833333333333333</v>
      </c>
      <c r="U37" s="127">
        <v>0.625</v>
      </c>
      <c r="V37" s="127">
        <f t="shared" si="12"/>
        <v>1.7201631944444444</v>
      </c>
      <c r="W37" s="127">
        <f t="shared" si="9"/>
        <v>1.1763</v>
      </c>
      <c r="X37" s="128">
        <f t="shared" si="8"/>
        <v>1.1947</v>
      </c>
      <c r="AC37" s="26" t="s">
        <v>63</v>
      </c>
      <c r="AD37" s="26">
        <v>3</v>
      </c>
    </row>
    <row r="38" spans="4:24" ht="19.5">
      <c r="D38" s="100">
        <v>210</v>
      </c>
      <c r="E38" s="101">
        <v>3.466</v>
      </c>
      <c r="F38" s="102">
        <v>23</v>
      </c>
      <c r="G38" s="102">
        <v>3</v>
      </c>
      <c r="H38" s="103">
        <f t="shared" si="0"/>
        <v>0</v>
      </c>
      <c r="I38" s="103">
        <f t="shared" si="1"/>
        <v>0</v>
      </c>
      <c r="J38" s="104">
        <f t="shared" si="2"/>
        <v>7</v>
      </c>
      <c r="K38" s="101">
        <f t="shared" si="3"/>
        <v>1.1666666666666667</v>
      </c>
      <c r="L38" s="101">
        <v>3.5</v>
      </c>
      <c r="M38" s="101">
        <f t="shared" si="4"/>
        <v>8.132666666666667</v>
      </c>
      <c r="N38" s="105">
        <f t="shared" si="7"/>
        <v>1.0813266666666668</v>
      </c>
      <c r="O38" s="101">
        <f t="shared" si="5"/>
        <v>1.07</v>
      </c>
      <c r="P38" s="124">
        <f t="shared" si="6"/>
        <v>1.157</v>
      </c>
      <c r="Q38" s="125">
        <v>3.1264</v>
      </c>
      <c r="R38" s="126">
        <v>1</v>
      </c>
      <c r="S38" s="127">
        <f t="shared" si="10"/>
        <v>0.4993555555555555</v>
      </c>
      <c r="T38" s="105">
        <f t="shared" si="11"/>
        <v>0.5833333333333333</v>
      </c>
      <c r="U38" s="127">
        <v>0.625</v>
      </c>
      <c r="V38" s="127">
        <f t="shared" si="12"/>
        <v>1.7076888888888888</v>
      </c>
      <c r="W38" s="127">
        <f t="shared" si="9"/>
        <v>1.1753</v>
      </c>
      <c r="X38" s="128">
        <f t="shared" si="8"/>
        <v>1.1936</v>
      </c>
    </row>
    <row r="39" spans="4:24" ht="19.5">
      <c r="D39" s="100">
        <v>220</v>
      </c>
      <c r="E39" s="101">
        <v>3.3951</v>
      </c>
      <c r="F39" s="102">
        <v>23</v>
      </c>
      <c r="G39" s="102">
        <v>3</v>
      </c>
      <c r="H39" s="103">
        <f t="shared" si="0"/>
        <v>0</v>
      </c>
      <c r="I39" s="103">
        <f t="shared" si="1"/>
        <v>0</v>
      </c>
      <c r="J39" s="104">
        <f t="shared" si="2"/>
        <v>7</v>
      </c>
      <c r="K39" s="101">
        <f aca="true" t="shared" si="14" ref="K39:K44">(-1)*(J39/12)*((I39/100)+((F39+G39-1)*(H39/100))-(((H39+I39)/100)*((F39+1)/2))-(G39-1))</f>
        <v>1.1666666666666667</v>
      </c>
      <c r="L39" s="101">
        <v>3.5</v>
      </c>
      <c r="M39" s="101">
        <f t="shared" si="4"/>
        <v>8.061766666666667</v>
      </c>
      <c r="N39" s="105">
        <f t="shared" si="7"/>
        <v>1.0806176666666667</v>
      </c>
      <c r="O39" s="101">
        <f t="shared" si="5"/>
        <v>1.07</v>
      </c>
      <c r="P39" s="124">
        <f aca="true" t="shared" si="15" ref="P39:P44">ROUND(N39*O39,4)</f>
        <v>1.1563</v>
      </c>
      <c r="Q39" s="125">
        <v>3.0558</v>
      </c>
      <c r="R39" s="126">
        <v>1</v>
      </c>
      <c r="S39" s="127">
        <f t="shared" si="10"/>
        <v>0.4880791666666666</v>
      </c>
      <c r="T39" s="105">
        <f t="shared" si="11"/>
        <v>0.5833333333333333</v>
      </c>
      <c r="U39" s="127">
        <v>0.625</v>
      </c>
      <c r="V39" s="127">
        <f t="shared" si="12"/>
        <v>1.6964124999999999</v>
      </c>
      <c r="W39" s="127">
        <f t="shared" si="9"/>
        <v>1.1744</v>
      </c>
      <c r="X39" s="128">
        <f t="shared" si="8"/>
        <v>1.1926</v>
      </c>
    </row>
    <row r="40" spans="4:24" ht="19.5">
      <c r="D40" s="100">
        <v>230</v>
      </c>
      <c r="E40" s="101">
        <v>3.3304</v>
      </c>
      <c r="F40" s="102">
        <v>23</v>
      </c>
      <c r="G40" s="102">
        <v>3</v>
      </c>
      <c r="H40" s="103">
        <f t="shared" si="0"/>
        <v>0</v>
      </c>
      <c r="I40" s="103">
        <f t="shared" si="1"/>
        <v>0</v>
      </c>
      <c r="J40" s="104">
        <f t="shared" si="2"/>
        <v>7</v>
      </c>
      <c r="K40" s="101">
        <f t="shared" si="14"/>
        <v>1.1666666666666667</v>
      </c>
      <c r="L40" s="101">
        <v>3.5</v>
      </c>
      <c r="M40" s="101">
        <f t="shared" si="4"/>
        <v>7.997066666666667</v>
      </c>
      <c r="N40" s="105">
        <f t="shared" si="7"/>
        <v>1.0799706666666666</v>
      </c>
      <c r="O40" s="101">
        <f t="shared" si="5"/>
        <v>1.07</v>
      </c>
      <c r="P40" s="124">
        <f t="shared" si="15"/>
        <v>1.1556</v>
      </c>
      <c r="Q40" s="125">
        <v>2.9907</v>
      </c>
      <c r="R40" s="126">
        <v>1</v>
      </c>
      <c r="S40" s="127">
        <f t="shared" si="10"/>
        <v>0.47768125</v>
      </c>
      <c r="T40" s="105">
        <f t="shared" si="11"/>
        <v>0.5833333333333333</v>
      </c>
      <c r="U40" s="127">
        <v>0.625</v>
      </c>
      <c r="V40" s="127">
        <f t="shared" si="12"/>
        <v>1.6860145833333333</v>
      </c>
      <c r="W40" s="127">
        <f t="shared" si="9"/>
        <v>1.1736</v>
      </c>
      <c r="X40" s="128">
        <f t="shared" si="8"/>
        <v>1.1916</v>
      </c>
    </row>
    <row r="41" spans="4:24" ht="19.5">
      <c r="D41" s="100">
        <v>240</v>
      </c>
      <c r="E41" s="101">
        <v>3.2711</v>
      </c>
      <c r="F41" s="102">
        <v>23</v>
      </c>
      <c r="G41" s="102">
        <v>3</v>
      </c>
      <c r="H41" s="103">
        <f t="shared" si="0"/>
        <v>0</v>
      </c>
      <c r="I41" s="103">
        <f t="shared" si="1"/>
        <v>0</v>
      </c>
      <c r="J41" s="104">
        <f t="shared" si="2"/>
        <v>7</v>
      </c>
      <c r="K41" s="101">
        <f t="shared" si="14"/>
        <v>1.1666666666666667</v>
      </c>
      <c r="L41" s="101">
        <v>3.5</v>
      </c>
      <c r="M41" s="101">
        <f t="shared" si="4"/>
        <v>7.937766666666667</v>
      </c>
      <c r="N41" s="105">
        <f t="shared" si="7"/>
        <v>1.0793776666666666</v>
      </c>
      <c r="O41" s="101">
        <f t="shared" si="5"/>
        <v>1.07</v>
      </c>
      <c r="P41" s="124">
        <f t="shared" si="15"/>
        <v>1.1549</v>
      </c>
      <c r="Q41" s="125">
        <v>2.9311</v>
      </c>
      <c r="R41" s="126">
        <v>1</v>
      </c>
      <c r="S41" s="127">
        <f t="shared" si="10"/>
        <v>0.4681618055555555</v>
      </c>
      <c r="T41" s="105">
        <f t="shared" si="11"/>
        <v>0.5833333333333333</v>
      </c>
      <c r="U41" s="127">
        <v>0.625</v>
      </c>
      <c r="V41" s="127">
        <f t="shared" si="12"/>
        <v>1.6764951388888887</v>
      </c>
      <c r="W41" s="127">
        <f t="shared" si="9"/>
        <v>1.1729</v>
      </c>
      <c r="X41" s="128">
        <f t="shared" si="8"/>
        <v>1.1908</v>
      </c>
    </row>
    <row r="42" spans="4:24" ht="19.5">
      <c r="D42" s="100">
        <v>250</v>
      </c>
      <c r="E42" s="101">
        <v>3.2165</v>
      </c>
      <c r="F42" s="102">
        <v>23</v>
      </c>
      <c r="G42" s="102">
        <v>3</v>
      </c>
      <c r="H42" s="103">
        <f t="shared" si="0"/>
        <v>0</v>
      </c>
      <c r="I42" s="103">
        <f t="shared" si="1"/>
        <v>0</v>
      </c>
      <c r="J42" s="104">
        <f t="shared" si="2"/>
        <v>7</v>
      </c>
      <c r="K42" s="101">
        <f t="shared" si="14"/>
        <v>1.1666666666666667</v>
      </c>
      <c r="L42" s="101">
        <v>3.5</v>
      </c>
      <c r="M42" s="101">
        <f t="shared" si="4"/>
        <v>7.883166666666667</v>
      </c>
      <c r="N42" s="105">
        <f t="shared" si="7"/>
        <v>1.0788316666666666</v>
      </c>
      <c r="O42" s="101">
        <f t="shared" si="5"/>
        <v>1.07</v>
      </c>
      <c r="P42" s="124">
        <f t="shared" si="15"/>
        <v>1.1543</v>
      </c>
      <c r="Q42" s="125">
        <v>2.8783</v>
      </c>
      <c r="R42" s="126">
        <v>1</v>
      </c>
      <c r="S42" s="127">
        <f t="shared" si="10"/>
        <v>0.4597284722222222</v>
      </c>
      <c r="T42" s="105">
        <f t="shared" si="11"/>
        <v>0.5833333333333333</v>
      </c>
      <c r="U42" s="127">
        <v>0.625</v>
      </c>
      <c r="V42" s="127">
        <f t="shared" si="12"/>
        <v>1.6680618055555554</v>
      </c>
      <c r="W42" s="127">
        <f t="shared" si="9"/>
        <v>1.1722</v>
      </c>
      <c r="X42" s="128">
        <f t="shared" si="8"/>
        <v>1.19</v>
      </c>
    </row>
    <row r="43" spans="4:24" ht="19.5">
      <c r="D43" s="100">
        <v>260</v>
      </c>
      <c r="E43" s="101">
        <v>3.1661</v>
      </c>
      <c r="F43" s="102">
        <v>23</v>
      </c>
      <c r="G43" s="102">
        <v>3</v>
      </c>
      <c r="H43" s="103">
        <f t="shared" si="0"/>
        <v>0</v>
      </c>
      <c r="I43" s="103">
        <f t="shared" si="1"/>
        <v>0</v>
      </c>
      <c r="J43" s="104">
        <f t="shared" si="2"/>
        <v>7</v>
      </c>
      <c r="K43" s="101">
        <f t="shared" si="14"/>
        <v>1.1666666666666667</v>
      </c>
      <c r="L43" s="101">
        <v>3.5</v>
      </c>
      <c r="M43" s="101">
        <f t="shared" si="4"/>
        <v>7.832766666666667</v>
      </c>
      <c r="N43" s="105">
        <f t="shared" si="7"/>
        <v>1.0783276666666666</v>
      </c>
      <c r="O43" s="101">
        <f t="shared" si="5"/>
        <v>1.07</v>
      </c>
      <c r="P43" s="124">
        <f t="shared" si="15"/>
        <v>1.1538</v>
      </c>
      <c r="Q43" s="125">
        <v>2.8263</v>
      </c>
      <c r="R43" s="126">
        <v>1</v>
      </c>
      <c r="S43" s="127">
        <f t="shared" si="10"/>
        <v>0.4514229166666666</v>
      </c>
      <c r="T43" s="105">
        <f t="shared" si="11"/>
        <v>0.5833333333333333</v>
      </c>
      <c r="U43" s="127">
        <v>0.625</v>
      </c>
      <c r="V43" s="127">
        <f t="shared" si="12"/>
        <v>1.6597562499999998</v>
      </c>
      <c r="W43" s="127">
        <f t="shared" si="9"/>
        <v>1.1716</v>
      </c>
      <c r="X43" s="128">
        <f t="shared" si="8"/>
        <v>1.1893</v>
      </c>
    </row>
    <row r="44" spans="4:25" ht="19.5">
      <c r="D44" s="100">
        <v>270</v>
      </c>
      <c r="E44" s="101">
        <v>3.1195</v>
      </c>
      <c r="F44" s="102">
        <v>23</v>
      </c>
      <c r="G44" s="102">
        <v>3</v>
      </c>
      <c r="H44" s="103">
        <f t="shared" si="0"/>
        <v>0</v>
      </c>
      <c r="I44" s="103">
        <f t="shared" si="1"/>
        <v>0</v>
      </c>
      <c r="J44" s="104">
        <f t="shared" si="2"/>
        <v>7</v>
      </c>
      <c r="K44" s="101">
        <f t="shared" si="14"/>
        <v>1.1666666666666667</v>
      </c>
      <c r="L44" s="101">
        <v>3.5</v>
      </c>
      <c r="M44" s="101">
        <f t="shared" si="4"/>
        <v>7.7861666666666665</v>
      </c>
      <c r="N44" s="105">
        <f t="shared" si="7"/>
        <v>1.0778616666666667</v>
      </c>
      <c r="O44" s="101">
        <f t="shared" si="5"/>
        <v>1.07</v>
      </c>
      <c r="P44" s="124">
        <f t="shared" si="15"/>
        <v>1.1533</v>
      </c>
      <c r="Q44" s="125">
        <v>2.7793</v>
      </c>
      <c r="R44" s="126">
        <v>1</v>
      </c>
      <c r="S44" s="127">
        <f t="shared" si="10"/>
        <v>0.4439159722222222</v>
      </c>
      <c r="T44" s="105">
        <f t="shared" si="11"/>
        <v>0.5833333333333333</v>
      </c>
      <c r="U44" s="127">
        <v>0.625</v>
      </c>
      <c r="V44" s="127">
        <f t="shared" si="12"/>
        <v>1.6522493055555554</v>
      </c>
      <c r="W44" s="127">
        <f t="shared" si="9"/>
        <v>1.171</v>
      </c>
      <c r="X44" s="128">
        <f t="shared" si="8"/>
        <v>1.1887</v>
      </c>
      <c r="Y44" s="45"/>
    </row>
    <row r="45" spans="4:24" ht="19.5">
      <c r="D45" s="100">
        <v>280</v>
      </c>
      <c r="E45" s="101">
        <v>3.0761</v>
      </c>
      <c r="F45" s="102">
        <v>23</v>
      </c>
      <c r="G45" s="102">
        <v>3</v>
      </c>
      <c r="H45" s="103">
        <f t="shared" si="0"/>
        <v>0</v>
      </c>
      <c r="I45" s="103">
        <f t="shared" si="1"/>
        <v>0</v>
      </c>
      <c r="J45" s="104">
        <f t="shared" si="2"/>
        <v>7</v>
      </c>
      <c r="K45" s="101">
        <f t="shared" si="3"/>
        <v>1.1666666666666667</v>
      </c>
      <c r="L45" s="101">
        <v>3.5</v>
      </c>
      <c r="M45" s="101">
        <f t="shared" si="4"/>
        <v>7.742766666666666</v>
      </c>
      <c r="N45" s="105">
        <f t="shared" si="7"/>
        <v>1.0774276666666667</v>
      </c>
      <c r="O45" s="101">
        <f t="shared" si="5"/>
        <v>1.07</v>
      </c>
      <c r="P45" s="124">
        <f t="shared" si="6"/>
        <v>1.1528</v>
      </c>
      <c r="Q45" s="125">
        <v>2.7357</v>
      </c>
      <c r="R45" s="126">
        <v>1</v>
      </c>
      <c r="S45" s="127">
        <f t="shared" si="10"/>
        <v>0.4369520833333333</v>
      </c>
      <c r="T45" s="105">
        <f t="shared" si="11"/>
        <v>0.5833333333333333</v>
      </c>
      <c r="U45" s="127">
        <v>0.625</v>
      </c>
      <c r="V45" s="127">
        <f t="shared" si="12"/>
        <v>1.6452854166666666</v>
      </c>
      <c r="W45" s="127">
        <f t="shared" si="9"/>
        <v>1.1705</v>
      </c>
      <c r="X45" s="128">
        <f t="shared" si="8"/>
        <v>1.1881</v>
      </c>
    </row>
    <row r="46" spans="4:24" ht="19.5">
      <c r="D46" s="100">
        <v>290</v>
      </c>
      <c r="E46" s="101">
        <v>3.0358</v>
      </c>
      <c r="F46" s="102">
        <v>23</v>
      </c>
      <c r="G46" s="102">
        <v>3</v>
      </c>
      <c r="H46" s="103">
        <f t="shared" si="0"/>
        <v>0</v>
      </c>
      <c r="I46" s="103">
        <f t="shared" si="1"/>
        <v>0</v>
      </c>
      <c r="J46" s="104">
        <f t="shared" si="2"/>
        <v>7</v>
      </c>
      <c r="K46" s="101">
        <f t="shared" si="3"/>
        <v>1.1666666666666667</v>
      </c>
      <c r="L46" s="101">
        <v>3.5</v>
      </c>
      <c r="M46" s="101">
        <f t="shared" si="4"/>
        <v>7.702466666666667</v>
      </c>
      <c r="N46" s="105">
        <f t="shared" si="7"/>
        <v>1.0770246666666667</v>
      </c>
      <c r="O46" s="101">
        <f t="shared" si="5"/>
        <v>1.07</v>
      </c>
      <c r="P46" s="124">
        <f t="shared" si="6"/>
        <v>1.1524</v>
      </c>
      <c r="Q46" s="125">
        <v>2.697</v>
      </c>
      <c r="R46" s="126">
        <v>1</v>
      </c>
      <c r="S46" s="127">
        <f t="shared" si="10"/>
        <v>0.4307708333333333</v>
      </c>
      <c r="T46" s="105">
        <f t="shared" si="11"/>
        <v>0.5833333333333333</v>
      </c>
      <c r="U46" s="127">
        <v>0.625</v>
      </c>
      <c r="V46" s="127">
        <f t="shared" si="12"/>
        <v>1.6391041666666666</v>
      </c>
      <c r="W46" s="127">
        <f t="shared" si="9"/>
        <v>1.17</v>
      </c>
      <c r="X46" s="128">
        <f t="shared" si="8"/>
        <v>1.1875</v>
      </c>
    </row>
    <row r="47" spans="4:24" ht="19.5">
      <c r="D47" s="100">
        <v>300</v>
      </c>
      <c r="E47" s="101">
        <v>2.9982</v>
      </c>
      <c r="F47" s="102">
        <v>23</v>
      </c>
      <c r="G47" s="102">
        <v>3</v>
      </c>
      <c r="H47" s="103">
        <f t="shared" si="0"/>
        <v>0</v>
      </c>
      <c r="I47" s="103">
        <f t="shared" si="1"/>
        <v>0</v>
      </c>
      <c r="J47" s="104">
        <f t="shared" si="2"/>
        <v>7</v>
      </c>
      <c r="K47" s="101">
        <f t="shared" si="3"/>
        <v>1.1666666666666667</v>
      </c>
      <c r="L47" s="101">
        <v>3.5</v>
      </c>
      <c r="M47" s="101">
        <f t="shared" si="4"/>
        <v>7.664866666666667</v>
      </c>
      <c r="N47" s="105">
        <f t="shared" si="7"/>
        <v>1.0766486666666666</v>
      </c>
      <c r="O47" s="101">
        <f t="shared" si="5"/>
        <v>1.07</v>
      </c>
      <c r="P47" s="124">
        <f t="shared" si="6"/>
        <v>1.152</v>
      </c>
      <c r="Q47" s="125">
        <v>2.6587</v>
      </c>
      <c r="R47" s="126">
        <v>1</v>
      </c>
      <c r="S47" s="127">
        <f t="shared" si="10"/>
        <v>0.4246534722222222</v>
      </c>
      <c r="T47" s="105">
        <f t="shared" si="11"/>
        <v>0.5833333333333333</v>
      </c>
      <c r="U47" s="127">
        <v>0.625</v>
      </c>
      <c r="V47" s="127">
        <f t="shared" si="12"/>
        <v>1.6329868055555554</v>
      </c>
      <c r="W47" s="127">
        <f t="shared" si="9"/>
        <v>1.1695</v>
      </c>
      <c r="X47" s="128">
        <f t="shared" si="8"/>
        <v>1.187</v>
      </c>
    </row>
    <row r="48" spans="4:24" ht="19.5">
      <c r="D48" s="100">
        <v>350</v>
      </c>
      <c r="E48" s="101">
        <v>2.8896</v>
      </c>
      <c r="F48" s="102">
        <v>24</v>
      </c>
      <c r="G48" s="102">
        <v>3</v>
      </c>
      <c r="H48" s="103">
        <f t="shared" si="0"/>
        <v>0</v>
      </c>
      <c r="I48" s="103">
        <f t="shared" si="1"/>
        <v>0</v>
      </c>
      <c r="J48" s="104">
        <f t="shared" si="2"/>
        <v>7</v>
      </c>
      <c r="K48" s="101">
        <f t="shared" si="3"/>
        <v>1.1666666666666667</v>
      </c>
      <c r="L48" s="101">
        <v>3.5</v>
      </c>
      <c r="M48" s="101">
        <f t="shared" si="4"/>
        <v>7.556266666666667</v>
      </c>
      <c r="N48" s="105">
        <f t="shared" si="7"/>
        <v>1.0755626666666667</v>
      </c>
      <c r="O48" s="101">
        <f t="shared" si="5"/>
        <v>1.07</v>
      </c>
      <c r="P48" s="124">
        <f t="shared" si="6"/>
        <v>1.1509</v>
      </c>
      <c r="Q48" s="125">
        <v>2.5385</v>
      </c>
      <c r="R48" s="126">
        <v>1</v>
      </c>
      <c r="S48" s="127">
        <f t="shared" si="10"/>
        <v>0.4230833333333333</v>
      </c>
      <c r="T48" s="105">
        <f t="shared" si="11"/>
        <v>0.5833333333333333</v>
      </c>
      <c r="U48" s="127">
        <v>0.625</v>
      </c>
      <c r="V48" s="127">
        <f t="shared" si="12"/>
        <v>1.6314166666666665</v>
      </c>
      <c r="W48" s="127">
        <f t="shared" si="9"/>
        <v>1.1683</v>
      </c>
      <c r="X48" s="128">
        <f t="shared" si="8"/>
        <v>1.1858</v>
      </c>
    </row>
    <row r="49" spans="4:24" ht="19.5">
      <c r="D49" s="100">
        <v>400</v>
      </c>
      <c r="E49" s="101">
        <v>2.6731</v>
      </c>
      <c r="F49" s="102">
        <v>24</v>
      </c>
      <c r="G49" s="102">
        <v>3</v>
      </c>
      <c r="H49" s="103">
        <f t="shared" si="0"/>
        <v>0</v>
      </c>
      <c r="I49" s="103">
        <f t="shared" si="1"/>
        <v>0</v>
      </c>
      <c r="J49" s="104">
        <f t="shared" si="2"/>
        <v>7</v>
      </c>
      <c r="K49" s="101">
        <f t="shared" si="3"/>
        <v>1.1666666666666667</v>
      </c>
      <c r="L49" s="101">
        <v>3.5</v>
      </c>
      <c r="M49" s="101">
        <f t="shared" si="4"/>
        <v>7.339766666666667</v>
      </c>
      <c r="N49" s="105">
        <f t="shared" si="7"/>
        <v>1.0733976666666667</v>
      </c>
      <c r="O49" s="101">
        <f t="shared" si="5"/>
        <v>1.07</v>
      </c>
      <c r="P49" s="124">
        <f t="shared" si="6"/>
        <v>1.1485</v>
      </c>
      <c r="Q49" s="125">
        <v>2.3232</v>
      </c>
      <c r="R49" s="126">
        <v>1</v>
      </c>
      <c r="S49" s="127">
        <f t="shared" si="10"/>
        <v>0.3872</v>
      </c>
      <c r="T49" s="105">
        <f t="shared" si="11"/>
        <v>0.5833333333333333</v>
      </c>
      <c r="U49" s="127">
        <v>0.625</v>
      </c>
      <c r="V49" s="127">
        <f t="shared" si="12"/>
        <v>1.5955333333333332</v>
      </c>
      <c r="W49" s="127">
        <f t="shared" si="9"/>
        <v>1.1656</v>
      </c>
      <c r="X49" s="128">
        <f t="shared" si="8"/>
        <v>1.1827</v>
      </c>
    </row>
    <row r="50" spans="4:24" ht="19.5">
      <c r="D50" s="100">
        <v>450</v>
      </c>
      <c r="E50" s="101">
        <v>2.5048</v>
      </c>
      <c r="F50" s="102">
        <v>24</v>
      </c>
      <c r="G50" s="102">
        <v>3</v>
      </c>
      <c r="H50" s="103">
        <f t="shared" si="0"/>
        <v>0</v>
      </c>
      <c r="I50" s="103">
        <f t="shared" si="1"/>
        <v>0</v>
      </c>
      <c r="J50" s="104">
        <f t="shared" si="2"/>
        <v>7</v>
      </c>
      <c r="K50" s="101">
        <f t="shared" si="3"/>
        <v>1.1666666666666667</v>
      </c>
      <c r="L50" s="101">
        <v>3.5</v>
      </c>
      <c r="M50" s="101">
        <f t="shared" si="4"/>
        <v>7.171466666666666</v>
      </c>
      <c r="N50" s="105">
        <f t="shared" si="7"/>
        <v>1.0717146666666666</v>
      </c>
      <c r="O50" s="101">
        <f t="shared" si="5"/>
        <v>1.07</v>
      </c>
      <c r="P50" s="124">
        <f t="shared" si="6"/>
        <v>1.1467</v>
      </c>
      <c r="Q50" s="125">
        <v>2.155</v>
      </c>
      <c r="R50" s="126">
        <v>1</v>
      </c>
      <c r="S50" s="127">
        <f t="shared" si="10"/>
        <v>0.35916666666666663</v>
      </c>
      <c r="T50" s="105">
        <f t="shared" si="11"/>
        <v>0.5833333333333333</v>
      </c>
      <c r="U50" s="127">
        <v>0.625</v>
      </c>
      <c r="V50" s="127">
        <f t="shared" si="12"/>
        <v>1.5675</v>
      </c>
      <c r="W50" s="127">
        <f t="shared" si="9"/>
        <v>1.1635</v>
      </c>
      <c r="X50" s="128">
        <f t="shared" si="8"/>
        <v>1.1803</v>
      </c>
    </row>
    <row r="51" spans="4:24" ht="19.5">
      <c r="D51" s="100">
        <v>500</v>
      </c>
      <c r="E51" s="101">
        <v>2.3701</v>
      </c>
      <c r="F51" s="102">
        <v>24</v>
      </c>
      <c r="G51" s="102">
        <v>3</v>
      </c>
      <c r="H51" s="103">
        <f t="shared" si="0"/>
        <v>0</v>
      </c>
      <c r="I51" s="103">
        <f t="shared" si="1"/>
        <v>0</v>
      </c>
      <c r="J51" s="104">
        <f t="shared" si="2"/>
        <v>7</v>
      </c>
      <c r="K51" s="101">
        <f t="shared" si="3"/>
        <v>1.1666666666666667</v>
      </c>
      <c r="L51" s="101">
        <v>3.5</v>
      </c>
      <c r="M51" s="101">
        <f t="shared" si="4"/>
        <v>7.036766666666667</v>
      </c>
      <c r="N51" s="105">
        <f t="shared" si="7"/>
        <v>1.0703676666666666</v>
      </c>
      <c r="O51" s="101">
        <f t="shared" si="5"/>
        <v>1.07</v>
      </c>
      <c r="P51" s="124">
        <f t="shared" si="6"/>
        <v>1.1453</v>
      </c>
      <c r="Q51" s="125">
        <v>2.0213</v>
      </c>
      <c r="R51" s="126">
        <v>1</v>
      </c>
      <c r="S51" s="127">
        <f t="shared" si="10"/>
        <v>0.33688333333333337</v>
      </c>
      <c r="T51" s="105">
        <f t="shared" si="11"/>
        <v>0.5833333333333333</v>
      </c>
      <c r="U51" s="127">
        <v>0.625</v>
      </c>
      <c r="V51" s="127">
        <f t="shared" si="12"/>
        <v>1.5452166666666667</v>
      </c>
      <c r="W51" s="127">
        <f t="shared" si="9"/>
        <v>1.1618</v>
      </c>
      <c r="X51" s="128">
        <f t="shared" si="8"/>
        <v>1.1784</v>
      </c>
    </row>
    <row r="52" spans="4:24" ht="20.25" thickBot="1">
      <c r="D52" s="148" t="s">
        <v>151</v>
      </c>
      <c r="E52" s="108">
        <v>2.3701</v>
      </c>
      <c r="F52" s="109">
        <v>24</v>
      </c>
      <c r="G52" s="109">
        <v>3</v>
      </c>
      <c r="H52" s="110">
        <f t="shared" si="0"/>
        <v>0</v>
      </c>
      <c r="I52" s="110">
        <f t="shared" si="1"/>
        <v>0</v>
      </c>
      <c r="J52" s="111">
        <f t="shared" si="2"/>
        <v>7</v>
      </c>
      <c r="K52" s="108">
        <f t="shared" si="3"/>
        <v>1.1666666666666667</v>
      </c>
      <c r="L52" s="108">
        <v>3.5</v>
      </c>
      <c r="M52" s="108">
        <f t="shared" si="4"/>
        <v>7.036766666666667</v>
      </c>
      <c r="N52" s="112">
        <f t="shared" si="7"/>
        <v>1.0703676666666666</v>
      </c>
      <c r="O52" s="108">
        <f t="shared" si="5"/>
        <v>1.07</v>
      </c>
      <c r="P52" s="129">
        <f t="shared" si="6"/>
        <v>1.1453</v>
      </c>
      <c r="Q52" s="130">
        <v>2.0213</v>
      </c>
      <c r="R52" s="131">
        <v>1</v>
      </c>
      <c r="S52" s="132">
        <f t="shared" si="10"/>
        <v>0.33688333333333337</v>
      </c>
      <c r="T52" s="112">
        <f t="shared" si="11"/>
        <v>0.5833333333333333</v>
      </c>
      <c r="U52" s="132">
        <v>0.625</v>
      </c>
      <c r="V52" s="132">
        <f t="shared" si="12"/>
        <v>1.5452166666666667</v>
      </c>
      <c r="W52" s="132">
        <f t="shared" si="9"/>
        <v>1.1618</v>
      </c>
      <c r="X52" s="133">
        <f t="shared" si="8"/>
        <v>1.1784</v>
      </c>
    </row>
    <row r="53" spans="4:24" ht="19.5">
      <c r="D53" s="26" t="s">
        <v>146</v>
      </c>
      <c r="E53" s="27" t="s">
        <v>147</v>
      </c>
      <c r="F53" s="26"/>
      <c r="G53" s="26"/>
      <c r="H53" s="26"/>
      <c r="I53" s="26"/>
      <c r="J53" s="26"/>
      <c r="K53" s="27"/>
      <c r="L53" s="27"/>
      <c r="M53" s="27"/>
      <c r="N53" s="26"/>
      <c r="O53" s="26"/>
      <c r="P53" s="26"/>
      <c r="Q53" s="27"/>
      <c r="R53" s="27"/>
      <c r="S53" s="26"/>
      <c r="T53" s="26"/>
      <c r="U53" s="26"/>
      <c r="V53" s="26"/>
      <c r="W53" s="26"/>
      <c r="X53" s="26"/>
    </row>
    <row r="54" spans="4:24" ht="20.25">
      <c r="D54" s="26"/>
      <c r="E54" s="27" t="s">
        <v>148</v>
      </c>
      <c r="F54" s="26"/>
      <c r="G54" s="26"/>
      <c r="H54" s="26"/>
      <c r="I54" s="26"/>
      <c r="J54" s="26"/>
      <c r="K54" s="27"/>
      <c r="L54" s="27"/>
      <c r="M54" s="27"/>
      <c r="N54" s="26"/>
      <c r="O54" s="26"/>
      <c r="P54" s="26"/>
      <c r="Q54" s="27"/>
      <c r="R54" s="27"/>
      <c r="S54" s="26"/>
      <c r="T54" s="26"/>
      <c r="U54" s="26"/>
      <c r="V54" s="26"/>
      <c r="W54" s="26"/>
      <c r="X54" s="26"/>
    </row>
  </sheetData>
  <sheetProtection password="87BD" sheet="1" objects="1" scenarios="1" selectLockedCells="1"/>
  <mergeCells count="20">
    <mergeCell ref="Q14:Q15"/>
    <mergeCell ref="R14:R15"/>
    <mergeCell ref="S14:S15"/>
    <mergeCell ref="D6:E6"/>
    <mergeCell ref="K2:X2"/>
    <mergeCell ref="U14:U15"/>
    <mergeCell ref="W14:W15"/>
    <mergeCell ref="D14:D15"/>
    <mergeCell ref="E14:M14"/>
    <mergeCell ref="N14:N15"/>
    <mergeCell ref="O14:O15"/>
    <mergeCell ref="P14:P15"/>
    <mergeCell ref="T14:T15"/>
    <mergeCell ref="X14:X15"/>
    <mergeCell ref="M4:N4"/>
    <mergeCell ref="M5:N5"/>
    <mergeCell ref="M6:N6"/>
    <mergeCell ref="P4:W4"/>
    <mergeCell ref="D9:X9"/>
    <mergeCell ref="D8:P8"/>
  </mergeCells>
  <dataValidations count="6">
    <dataValidation type="list" allowBlank="1" showInputMessage="1" showErrorMessage="1" promptTitle="พื้นที่ฝนชุก" prompt="เลือกจังหวัดที่ตั้งโครงการ ตามรายชื่อจังหวัดพื้นที่ฝนชุก  หากไม่มีในรายชื่อด้านล่าง ให้เลือกอื่นๆ ซึ่งหมายถึง พื้นที่ปกติ ไม่ใช่พื้นที่ฝนชุก&#10;" sqref="W5">
      <formula1>$AC$17:$AC$36</formula1>
    </dataValidation>
    <dataValidation type="list" allowBlank="1" showInputMessage="1" showErrorMessage="1" sqref="O11">
      <formula1>$AA$23:$AA$25</formula1>
    </dataValidation>
    <dataValidation type="list" allowBlank="1" showInputMessage="1" showErrorMessage="1" sqref="K11">
      <formula1>$Z$22:$Z$25</formula1>
    </dataValidation>
    <dataValidation type="decimal" operator="greaterThanOrEqual" allowBlank="1" showInputMessage="1" showErrorMessage="1" promptTitle="ค่างานต้นทุน" prompt="ใส่ค่างานต้นทุน (ค่าวัสดุ+ค่าแรง)&#10;ซึ่งยังไม่รวมค่า ภาษี กำไร ค่าดำเนินการ" errorTitle="ค่างานต้นทุน" sqref="M4">
      <formula1>0</formula1>
    </dataValidation>
    <dataValidation type="list" allowBlank="1" showInputMessage="1" showErrorMessage="1" sqref="K12">
      <formula1>$Z$22:$Z$24</formula1>
    </dataValidation>
    <dataValidation type="list" allowBlank="1" showInputMessage="1" showErrorMessage="1" sqref="O12">
      <formula1>$AB$22:$AB$23</formula1>
    </dataValidation>
  </dataValidations>
  <hyperlinks>
    <hyperlink ref="D6" r:id="rId1" display="www.yotathai.net"/>
  </hyperlinks>
  <printOptions horizontalCentered="1"/>
  <pageMargins left="0.4330708661417323" right="0.35433070866141736" top="0.2362204724409449" bottom="0" header="0.35433070866141736" footer="0.31496062992125984"/>
  <pageSetup blackAndWhite="1" horizontalDpi="300" verticalDpi="300" orientation="portrait" paperSize="9" scale="90" r:id="rId3"/>
  <headerFooter>
    <oddFooter>&amp;Rwww.yotathai.net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rgb="FF00B0F0"/>
  </sheetPr>
  <dimension ref="C1:AG59"/>
  <sheetViews>
    <sheetView showGridLines="0" showRowColHeaders="0" showOutlineSymbols="0" zoomScalePageLayoutView="60" workbookViewId="0" topLeftCell="A1">
      <selection activeCell="W5" sqref="W5"/>
    </sheetView>
  </sheetViews>
  <sheetFormatPr defaultColWidth="9.00390625" defaultRowHeight="12.75"/>
  <cols>
    <col min="1" max="2" width="9.00390625" style="3" customWidth="1"/>
    <col min="3" max="3" width="3.7109375" style="3" customWidth="1"/>
    <col min="4" max="4" width="11.140625" style="3" customWidth="1"/>
    <col min="5" max="5" width="10.7109375" style="6" customWidth="1"/>
    <col min="6" max="10" width="9.00390625" style="3" hidden="1" customWidth="1"/>
    <col min="11" max="13" width="11.00390625" style="6" customWidth="1"/>
    <col min="14" max="14" width="11.00390625" style="3" customWidth="1"/>
    <col min="15" max="15" width="9.8515625" style="3" customWidth="1"/>
    <col min="16" max="16" width="11.00390625" style="3" customWidth="1"/>
    <col min="17" max="17" width="12.00390625" style="6" hidden="1" customWidth="1"/>
    <col min="18" max="18" width="8.421875" style="6" hidden="1" customWidth="1"/>
    <col min="19" max="22" width="8.421875" style="3" hidden="1" customWidth="1"/>
    <col min="23" max="24" width="11.140625" style="3" customWidth="1"/>
    <col min="25" max="25" width="9.00390625" style="26" hidden="1" customWidth="1"/>
    <col min="26" max="26" width="10.8515625" style="37" hidden="1" customWidth="1"/>
    <col min="27" max="27" width="11.57421875" style="26" hidden="1" customWidth="1"/>
    <col min="28" max="28" width="9.00390625" style="26" hidden="1" customWidth="1"/>
    <col min="29" max="29" width="11.28125" style="26" hidden="1" customWidth="1"/>
    <col min="30" max="31" width="9.00390625" style="26" hidden="1" customWidth="1"/>
    <col min="32" max="16384" width="9.00390625" style="3" customWidth="1"/>
  </cols>
  <sheetData>
    <row r="1" spans="24:31" ht="16.5" customHeight="1" thickBot="1">
      <c r="X1" s="64" t="str">
        <f>F_อาคาร!P1</f>
        <v>Factor F_2555</v>
      </c>
      <c r="Y1" s="3"/>
      <c r="Z1" s="52"/>
      <c r="AA1" s="3"/>
      <c r="AB1" s="3"/>
      <c r="AC1" s="3"/>
      <c r="AD1" s="3"/>
      <c r="AE1" s="3"/>
    </row>
    <row r="2" spans="4:24" ht="23.25">
      <c r="D2" s="29"/>
      <c r="E2" s="29"/>
      <c r="F2" s="28"/>
      <c r="G2" s="28"/>
      <c r="H2" s="28"/>
      <c r="I2" s="28"/>
      <c r="J2" s="28"/>
      <c r="K2" s="709" t="s">
        <v>179</v>
      </c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</row>
    <row r="3" spans="4:24" ht="8.25" customHeight="1">
      <c r="D3" s="29"/>
      <c r="E3" s="29"/>
      <c r="F3" s="29"/>
      <c r="G3" s="29"/>
      <c r="H3" s="29"/>
      <c r="I3" s="29"/>
      <c r="J3" s="29"/>
      <c r="K3" s="11"/>
      <c r="L3" s="11"/>
      <c r="M3" s="11"/>
      <c r="N3" s="11"/>
      <c r="O3" s="11"/>
      <c r="P3" s="11"/>
      <c r="Q3" s="72"/>
      <c r="R3" s="72"/>
      <c r="S3" s="7"/>
      <c r="T3" s="7"/>
      <c r="U3" s="7"/>
      <c r="V3" s="7"/>
      <c r="W3" s="7"/>
      <c r="X3" s="7"/>
    </row>
    <row r="4" spans="4:27" ht="20.25">
      <c r="D4" s="30"/>
      <c r="E4" s="31"/>
      <c r="F4" s="30"/>
      <c r="G4" s="30"/>
      <c r="H4" s="30"/>
      <c r="I4" s="30"/>
      <c r="J4" s="30"/>
      <c r="K4" s="72" t="s">
        <v>4</v>
      </c>
      <c r="L4" s="72"/>
      <c r="M4" s="706">
        <v>18000000</v>
      </c>
      <c r="N4" s="706"/>
      <c r="O4" s="149" t="s">
        <v>5</v>
      </c>
      <c r="P4" s="727" t="s">
        <v>41</v>
      </c>
      <c r="Q4" s="727"/>
      <c r="R4" s="727"/>
      <c r="S4" s="727"/>
      <c r="T4" s="727"/>
      <c r="U4" s="727"/>
      <c r="V4" s="727"/>
      <c r="W4" s="727"/>
      <c r="X4" s="7"/>
      <c r="Y4" s="38"/>
      <c r="Z4" s="48"/>
      <c r="AA4" s="38"/>
    </row>
    <row r="5" spans="4:27" ht="20.25">
      <c r="D5" s="30"/>
      <c r="E5" s="32"/>
      <c r="F5" s="32"/>
      <c r="G5" s="32"/>
      <c r="H5" s="32"/>
      <c r="I5" s="32"/>
      <c r="J5" s="32"/>
      <c r="K5" s="72" t="s">
        <v>13</v>
      </c>
      <c r="L5" s="72"/>
      <c r="M5" s="726">
        <f>IF(W6=1,IF(M4=0,0,IF(M4&lt;=5000000,W16,IF(M4&gt;=500000000,W52,AB21))),IF(W6=2,IF(M4=0,0,IF(M4&lt;=5000000,X16,IF(M4&gt;=500000000,X52,AB21))),IF(M4=0,0,IF(M4&lt;=5000000,P16,IF(M4&gt;=500000000,P52,AB21)))))</f>
        <v>1.251</v>
      </c>
      <c r="N5" s="726"/>
      <c r="O5" s="149"/>
      <c r="P5" s="145" t="s">
        <v>39</v>
      </c>
      <c r="Q5" s="31"/>
      <c r="R5" s="31"/>
      <c r="S5" s="30"/>
      <c r="T5" s="30"/>
      <c r="U5" s="30"/>
      <c r="V5" s="30"/>
      <c r="W5" s="144" t="s">
        <v>62</v>
      </c>
      <c r="X5" s="7"/>
      <c r="Y5" s="38"/>
      <c r="Z5" s="39"/>
      <c r="AA5" s="46"/>
    </row>
    <row r="6" spans="4:26" ht="21" customHeight="1">
      <c r="D6" s="733" t="s">
        <v>29</v>
      </c>
      <c r="E6" s="734"/>
      <c r="F6" s="33"/>
      <c r="G6" s="33"/>
      <c r="H6" s="33"/>
      <c r="I6" s="33"/>
      <c r="J6" s="33"/>
      <c r="K6" s="72" t="s">
        <v>28</v>
      </c>
      <c r="L6" s="72"/>
      <c r="M6" s="712">
        <f>ROUND((M5*M4),2)</f>
        <v>22518000</v>
      </c>
      <c r="N6" s="712"/>
      <c r="O6" s="149" t="s">
        <v>5</v>
      </c>
      <c r="P6" s="145" t="s">
        <v>40</v>
      </c>
      <c r="Q6" s="31"/>
      <c r="R6" s="31"/>
      <c r="S6" s="30"/>
      <c r="T6" s="30"/>
      <c r="U6" s="30"/>
      <c r="V6" s="30"/>
      <c r="W6" s="146" t="str">
        <f>VLOOKUP(W5,AC17:AD36,2,FALSE)</f>
        <v>ปกติ</v>
      </c>
      <c r="X6" s="7"/>
      <c r="Z6" s="49"/>
    </row>
    <row r="7" spans="4:24" ht="9" customHeight="1">
      <c r="D7" s="30"/>
      <c r="E7" s="31"/>
      <c r="F7" s="30"/>
      <c r="G7" s="30"/>
      <c r="H7" s="30"/>
      <c r="I7" s="30"/>
      <c r="J7" s="30"/>
      <c r="K7" s="72"/>
      <c r="L7" s="72"/>
      <c r="M7" s="72"/>
      <c r="N7" s="114"/>
      <c r="O7" s="114"/>
      <c r="P7" s="7"/>
      <c r="Q7" s="72"/>
      <c r="R7" s="72"/>
      <c r="S7" s="7"/>
      <c r="T7" s="7"/>
      <c r="U7" s="7"/>
      <c r="V7" s="7"/>
      <c r="W7" s="7"/>
      <c r="X7" s="7"/>
    </row>
    <row r="8" spans="4:24" ht="9.75" customHeight="1" hidden="1"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31"/>
      <c r="R8" s="31"/>
      <c r="S8" s="30"/>
      <c r="T8" s="30"/>
      <c r="U8" s="30"/>
      <c r="V8" s="30"/>
      <c r="W8" s="30"/>
      <c r="X8" s="30"/>
    </row>
    <row r="9" spans="3:31" s="4" customFormat="1" ht="22.5" customHeight="1">
      <c r="C9" s="141"/>
      <c r="D9" s="737" t="s">
        <v>95</v>
      </c>
      <c r="E9" s="737"/>
      <c r="F9" s="737"/>
      <c r="G9" s="737"/>
      <c r="H9" s="737"/>
      <c r="I9" s="737"/>
      <c r="J9" s="737"/>
      <c r="K9" s="737"/>
      <c r="L9" s="737"/>
      <c r="M9" s="737"/>
      <c r="N9" s="737"/>
      <c r="O9" s="737"/>
      <c r="P9" s="737"/>
      <c r="Q9" s="737"/>
      <c r="R9" s="737"/>
      <c r="S9" s="737"/>
      <c r="T9" s="737"/>
      <c r="U9" s="737"/>
      <c r="V9" s="737"/>
      <c r="W9" s="737"/>
      <c r="X9" s="737"/>
      <c r="Y9" s="36"/>
      <c r="Z9" s="36"/>
      <c r="AA9" s="36"/>
      <c r="AB9" s="36"/>
      <c r="AC9" s="36"/>
      <c r="AD9" s="36"/>
      <c r="AE9" s="36"/>
    </row>
    <row r="10" spans="4:28" ht="4.5" customHeight="1"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1"/>
      <c r="R10" s="31"/>
      <c r="S10" s="30"/>
      <c r="T10" s="30"/>
      <c r="U10" s="30"/>
      <c r="V10" s="30"/>
      <c r="W10" s="30"/>
      <c r="X10" s="30"/>
      <c r="AB10" s="47" t="s">
        <v>64</v>
      </c>
    </row>
    <row r="11" spans="4:28" ht="19.5">
      <c r="D11" s="30" t="s">
        <v>26</v>
      </c>
      <c r="E11" s="31"/>
      <c r="F11" s="30"/>
      <c r="G11" s="30"/>
      <c r="H11" s="30"/>
      <c r="I11" s="30"/>
      <c r="J11" s="30"/>
      <c r="K11" s="84">
        <v>0</v>
      </c>
      <c r="L11" s="31" t="s">
        <v>2</v>
      </c>
      <c r="M11" s="31" t="s">
        <v>0</v>
      </c>
      <c r="N11" s="30"/>
      <c r="O11" s="86">
        <v>7</v>
      </c>
      <c r="P11" s="30" t="s">
        <v>2</v>
      </c>
      <c r="Q11" s="31"/>
      <c r="R11" s="31"/>
      <c r="S11" s="30"/>
      <c r="T11" s="30"/>
      <c r="U11" s="30"/>
      <c r="V11" s="30"/>
      <c r="W11" s="30"/>
      <c r="X11" s="30"/>
      <c r="Y11"/>
      <c r="AB11" s="47" t="s">
        <v>65</v>
      </c>
    </row>
    <row r="12" spans="4:24" ht="19.5">
      <c r="D12" s="30" t="s">
        <v>27</v>
      </c>
      <c r="E12" s="31"/>
      <c r="F12" s="30"/>
      <c r="G12" s="30"/>
      <c r="H12" s="30"/>
      <c r="I12" s="30"/>
      <c r="J12" s="30"/>
      <c r="K12" s="83">
        <v>0</v>
      </c>
      <c r="L12" s="31" t="s">
        <v>2</v>
      </c>
      <c r="M12" s="31" t="s">
        <v>3</v>
      </c>
      <c r="N12" s="30"/>
      <c r="O12" s="85">
        <v>7</v>
      </c>
      <c r="P12" s="30" t="s">
        <v>2</v>
      </c>
      <c r="Q12" s="31"/>
      <c r="R12" s="31"/>
      <c r="S12" s="30"/>
      <c r="T12" s="30"/>
      <c r="U12" s="30"/>
      <c r="V12" s="30"/>
      <c r="W12" s="30"/>
      <c r="X12" s="30"/>
    </row>
    <row r="13" spans="4:24" ht="4.5" customHeight="1" thickBot="1">
      <c r="D13" s="34"/>
      <c r="E13" s="35"/>
      <c r="F13" s="34"/>
      <c r="G13" s="34"/>
      <c r="H13" s="34"/>
      <c r="I13" s="34"/>
      <c r="J13" s="34"/>
      <c r="K13" s="35"/>
      <c r="L13" s="35"/>
      <c r="M13" s="35"/>
      <c r="N13" s="34"/>
      <c r="O13" s="35"/>
      <c r="P13" s="34"/>
      <c r="Q13" s="35"/>
      <c r="R13" s="35"/>
      <c r="S13" s="34"/>
      <c r="T13" s="34"/>
      <c r="U13" s="34"/>
      <c r="V13" s="34"/>
      <c r="W13" s="34"/>
      <c r="X13" s="34"/>
    </row>
    <row r="14" spans="4:24" ht="20.25">
      <c r="D14" s="715" t="s">
        <v>67</v>
      </c>
      <c r="E14" s="717" t="s">
        <v>30</v>
      </c>
      <c r="F14" s="718"/>
      <c r="G14" s="718"/>
      <c r="H14" s="718"/>
      <c r="I14" s="718"/>
      <c r="J14" s="718"/>
      <c r="K14" s="718"/>
      <c r="L14" s="718"/>
      <c r="M14" s="718"/>
      <c r="N14" s="717" t="s">
        <v>14</v>
      </c>
      <c r="O14" s="717" t="s">
        <v>101</v>
      </c>
      <c r="P14" s="718" t="s">
        <v>1</v>
      </c>
      <c r="Q14" s="728" t="s">
        <v>31</v>
      </c>
      <c r="R14" s="730" t="s">
        <v>33</v>
      </c>
      <c r="S14" s="731" t="s">
        <v>32</v>
      </c>
      <c r="T14" s="722" t="s">
        <v>34</v>
      </c>
      <c r="U14" s="731" t="s">
        <v>35</v>
      </c>
      <c r="V14" s="116"/>
      <c r="W14" s="735" t="s">
        <v>37</v>
      </c>
      <c r="X14" s="724" t="s">
        <v>38</v>
      </c>
    </row>
    <row r="15" spans="4:24" ht="41.25" customHeight="1" thickBot="1">
      <c r="D15" s="716"/>
      <c r="E15" s="91" t="s">
        <v>16</v>
      </c>
      <c r="F15" s="92" t="s">
        <v>17</v>
      </c>
      <c r="G15" s="92" t="s">
        <v>18</v>
      </c>
      <c r="H15" s="92" t="s">
        <v>19</v>
      </c>
      <c r="I15" s="92" t="s">
        <v>20</v>
      </c>
      <c r="J15" s="92" t="s">
        <v>21</v>
      </c>
      <c r="K15" s="91" t="s">
        <v>22</v>
      </c>
      <c r="L15" s="91" t="s">
        <v>23</v>
      </c>
      <c r="M15" s="91" t="s">
        <v>24</v>
      </c>
      <c r="N15" s="719"/>
      <c r="O15" s="719"/>
      <c r="P15" s="719"/>
      <c r="Q15" s="729"/>
      <c r="R15" s="729"/>
      <c r="S15" s="732"/>
      <c r="T15" s="723"/>
      <c r="U15" s="732"/>
      <c r="V15" s="117" t="s">
        <v>36</v>
      </c>
      <c r="W15" s="736"/>
      <c r="X15" s="725"/>
    </row>
    <row r="16" spans="4:29" ht="19.5">
      <c r="D16" s="134" t="s">
        <v>99</v>
      </c>
      <c r="E16" s="94">
        <v>17.3164</v>
      </c>
      <c r="F16" s="95">
        <v>6</v>
      </c>
      <c r="G16" s="95">
        <v>3</v>
      </c>
      <c r="H16" s="96">
        <f aca="true" t="shared" si="0" ref="H16:H57">$K$11</f>
        <v>0</v>
      </c>
      <c r="I16" s="96">
        <f aca="true" t="shared" si="1" ref="I16:I57">$K$12</f>
        <v>0</v>
      </c>
      <c r="J16" s="97">
        <f aca="true" t="shared" si="2" ref="J16:J57">$O$11</f>
        <v>7</v>
      </c>
      <c r="K16" s="94">
        <f>(-1)*(J16/12)*((I16/100)+((F16+G16-1)*(H16/100))-(((H16+I16)/100)*((F16+1)/2))-(G16-1))</f>
        <v>1.1666666666666667</v>
      </c>
      <c r="L16" s="94">
        <v>5.5</v>
      </c>
      <c r="M16" s="94">
        <f aca="true" t="shared" si="3" ref="M16:M52">E16+K16+L16</f>
        <v>23.98306666666667</v>
      </c>
      <c r="N16" s="98">
        <f>1+(M16/100)</f>
        <v>1.2398306666666667</v>
      </c>
      <c r="O16" s="94">
        <f aca="true" t="shared" si="4" ref="O16:O57">1+($O$12/100)</f>
        <v>1.07</v>
      </c>
      <c r="P16" s="135">
        <f aca="true" t="shared" si="5" ref="P16:P52">ROUND(N16*O16,4)</f>
        <v>1.3266</v>
      </c>
      <c r="Q16" s="119">
        <v>17.155</v>
      </c>
      <c r="R16" s="120">
        <v>1</v>
      </c>
      <c r="S16" s="121">
        <f>R16/12*Q16*F16/12</f>
        <v>0.7147916666666667</v>
      </c>
      <c r="T16" s="98">
        <f>R16/12*J16</f>
        <v>0.5833333333333333</v>
      </c>
      <c r="U16" s="121">
        <v>0.625</v>
      </c>
      <c r="V16" s="121">
        <f>S16+T16+U16</f>
        <v>1.923125</v>
      </c>
      <c r="W16" s="121">
        <f>ROUND((N16+V16/100)*O16,4)</f>
        <v>1.3472</v>
      </c>
      <c r="X16" s="122">
        <f>ROUND((N16+2*(V16/100))*O16,4)</f>
        <v>1.3678</v>
      </c>
      <c r="Z16" s="38" t="s">
        <v>6</v>
      </c>
      <c r="AA16" s="40">
        <f>M4/1000000</f>
        <v>18</v>
      </c>
      <c r="AB16" s="38"/>
      <c r="AC16" s="26" t="s">
        <v>40</v>
      </c>
    </row>
    <row r="17" spans="4:30" ht="20.25" customHeight="1" hidden="1">
      <c r="D17" s="136">
        <v>5</v>
      </c>
      <c r="E17" s="101">
        <v>17.3164</v>
      </c>
      <c r="F17" s="102">
        <v>6</v>
      </c>
      <c r="G17" s="102">
        <v>3</v>
      </c>
      <c r="H17" s="103">
        <f t="shared" si="0"/>
        <v>0</v>
      </c>
      <c r="I17" s="103">
        <f t="shared" si="1"/>
        <v>0</v>
      </c>
      <c r="J17" s="104">
        <f t="shared" si="2"/>
        <v>7</v>
      </c>
      <c r="K17" s="101">
        <f>(-1)*(J17/12)*((I17/100)+((F17+G17-1)*(H17/100))-(((H17+I17)/100)*((F17+1)/2))-(G17-1))</f>
        <v>1.1666666666666667</v>
      </c>
      <c r="L17" s="101">
        <v>5.5</v>
      </c>
      <c r="M17" s="101">
        <f>E17+K17+L17</f>
        <v>23.98306666666667</v>
      </c>
      <c r="N17" s="105">
        <f>1+(M17/100)</f>
        <v>1.2398306666666667</v>
      </c>
      <c r="O17" s="101">
        <f t="shared" si="4"/>
        <v>1.07</v>
      </c>
      <c r="P17" s="124">
        <f>ROUND(N17*O17,4)</f>
        <v>1.3266</v>
      </c>
      <c r="Q17" s="125">
        <v>17.155</v>
      </c>
      <c r="R17" s="126">
        <v>1</v>
      </c>
      <c r="S17" s="127">
        <f>R17/12*Q17*F17/12</f>
        <v>0.7147916666666667</v>
      </c>
      <c r="T17" s="105">
        <f>R17/12*J17</f>
        <v>0.5833333333333333</v>
      </c>
      <c r="U17" s="127">
        <v>0.625</v>
      </c>
      <c r="V17" s="127">
        <f>S17+T17+U17</f>
        <v>1.923125</v>
      </c>
      <c r="W17" s="127">
        <f>ROUND((N17+V17/100)*O17,4)</f>
        <v>1.3472</v>
      </c>
      <c r="X17" s="128">
        <f>ROUND((N17+2*(V17/100))*O17,4)</f>
        <v>1.3678</v>
      </c>
      <c r="Z17" s="38" t="s">
        <v>7</v>
      </c>
      <c r="AA17" s="39">
        <f>VLOOKUP(AA16,D16:D56,1)</f>
        <v>10</v>
      </c>
      <c r="AB17" s="50">
        <f>IF($W$6=1,VLOOKUP(AA17,$D$17:$X$56,20,FALSE),IF($W$6=2,VLOOKUP(AA17,$D$17:$X$56,21,FALSE),VLOOKUP(AA17,$D$17:$X$56,13,FALSE)))</f>
        <v>1.2787</v>
      </c>
      <c r="AC17" s="26" t="s">
        <v>62</v>
      </c>
      <c r="AD17" s="26" t="s">
        <v>61</v>
      </c>
    </row>
    <row r="18" spans="4:33" ht="19.5">
      <c r="D18" s="136">
        <v>10</v>
      </c>
      <c r="E18" s="101">
        <v>12.8343</v>
      </c>
      <c r="F18" s="102">
        <v>9</v>
      </c>
      <c r="G18" s="102">
        <v>3</v>
      </c>
      <c r="H18" s="103">
        <f t="shared" si="0"/>
        <v>0</v>
      </c>
      <c r="I18" s="103">
        <f t="shared" si="1"/>
        <v>0</v>
      </c>
      <c r="J18" s="104">
        <f t="shared" si="2"/>
        <v>7</v>
      </c>
      <c r="K18" s="101">
        <f aca="true" t="shared" si="6" ref="K18:K52">(-1)*(J18/12)*((I18/100)+((F18+G18-1)*(H18/100))-(((H18+I18)/100)*((F18+1)/2))-(G18-1))</f>
        <v>1.1666666666666667</v>
      </c>
      <c r="L18" s="101">
        <v>5.5</v>
      </c>
      <c r="M18" s="101">
        <f t="shared" si="3"/>
        <v>19.500966666666667</v>
      </c>
      <c r="N18" s="105">
        <f aca="true" t="shared" si="7" ref="N18:N52">1+(M18/100)</f>
        <v>1.1950096666666667</v>
      </c>
      <c r="O18" s="101">
        <f t="shared" si="4"/>
        <v>1.07</v>
      </c>
      <c r="P18" s="124">
        <f t="shared" si="5"/>
        <v>1.2787</v>
      </c>
      <c r="Q18" s="125">
        <v>12.64</v>
      </c>
      <c r="R18" s="126">
        <v>1</v>
      </c>
      <c r="S18" s="127">
        <f>R18/12*Q18*F18/12</f>
        <v>0.7899999999999999</v>
      </c>
      <c r="T18" s="105">
        <f>R18/12*J18</f>
        <v>0.5833333333333333</v>
      </c>
      <c r="U18" s="127">
        <v>0.625</v>
      </c>
      <c r="V18" s="127">
        <f>S18+T18+U18</f>
        <v>1.998333333333333</v>
      </c>
      <c r="W18" s="127">
        <f>ROUND((N18+V18/100)*O18,4)</f>
        <v>1.3</v>
      </c>
      <c r="X18" s="128">
        <f aca="true" t="shared" si="8" ref="X18:X52">ROUND((N18+2*(V18/100))*O18,4)</f>
        <v>1.3214</v>
      </c>
      <c r="Z18" s="38" t="s">
        <v>9</v>
      </c>
      <c r="AA18" s="41">
        <f>MATCH(AA17,D16:D56)</f>
        <v>3</v>
      </c>
      <c r="AB18" s="50"/>
      <c r="AC18" s="26" t="s">
        <v>42</v>
      </c>
      <c r="AD18" s="26">
        <v>1</v>
      </c>
      <c r="AG18" s="71"/>
    </row>
    <row r="19" spans="4:33" ht="19.5">
      <c r="D19" s="136">
        <v>20</v>
      </c>
      <c r="E19" s="101">
        <v>9.6069</v>
      </c>
      <c r="F19" s="102">
        <v>12</v>
      </c>
      <c r="G19" s="102">
        <v>3</v>
      </c>
      <c r="H19" s="103">
        <f t="shared" si="0"/>
        <v>0</v>
      </c>
      <c r="I19" s="103">
        <f t="shared" si="1"/>
        <v>0</v>
      </c>
      <c r="J19" s="104">
        <f t="shared" si="2"/>
        <v>7</v>
      </c>
      <c r="K19" s="101">
        <f t="shared" si="6"/>
        <v>1.1666666666666667</v>
      </c>
      <c r="L19" s="101">
        <v>5.5</v>
      </c>
      <c r="M19" s="101">
        <f t="shared" si="3"/>
        <v>16.273566666666667</v>
      </c>
      <c r="N19" s="105">
        <f t="shared" si="7"/>
        <v>1.1627356666666666</v>
      </c>
      <c r="O19" s="101">
        <f t="shared" si="4"/>
        <v>1.07</v>
      </c>
      <c r="P19" s="124">
        <f t="shared" si="5"/>
        <v>1.2441</v>
      </c>
      <c r="Q19" s="125">
        <v>9.382</v>
      </c>
      <c r="R19" s="126">
        <v>1</v>
      </c>
      <c r="S19" s="127">
        <f>R19/12*Q19*F19/12</f>
        <v>0.7818333333333333</v>
      </c>
      <c r="T19" s="105">
        <f>R19/12*J19</f>
        <v>0.5833333333333333</v>
      </c>
      <c r="U19" s="127">
        <v>0.625</v>
      </c>
      <c r="V19" s="127">
        <f>S19+T19+U19</f>
        <v>1.9901666666666666</v>
      </c>
      <c r="W19" s="127">
        <f aca="true" t="shared" si="9" ref="W19:W52">ROUND((N19+V19/100)*O19,4)</f>
        <v>1.2654</v>
      </c>
      <c r="X19" s="128">
        <f t="shared" si="8"/>
        <v>1.2867</v>
      </c>
      <c r="Z19" s="42" t="s">
        <v>10</v>
      </c>
      <c r="AA19" s="41">
        <f>AA18+1</f>
        <v>4</v>
      </c>
      <c r="AB19" s="51"/>
      <c r="AC19" s="26" t="s">
        <v>43</v>
      </c>
      <c r="AD19" s="26">
        <v>1</v>
      </c>
      <c r="AG19" s="71"/>
    </row>
    <row r="20" spans="4:33" ht="19.5">
      <c r="D20" s="136">
        <v>30</v>
      </c>
      <c r="E20" s="101">
        <v>8.1478</v>
      </c>
      <c r="F20" s="102">
        <v>13</v>
      </c>
      <c r="G20" s="102">
        <v>3</v>
      </c>
      <c r="H20" s="103">
        <f t="shared" si="0"/>
        <v>0</v>
      </c>
      <c r="I20" s="103">
        <f t="shared" si="1"/>
        <v>0</v>
      </c>
      <c r="J20" s="104">
        <f t="shared" si="2"/>
        <v>7</v>
      </c>
      <c r="K20" s="101">
        <f>(-1)*(J20/12)*((I20/100)+((F20+G20-1)*(H20/100))-(((H20+I20)/100)*((F20+1)/2))-(G20-1))</f>
        <v>1.1666666666666667</v>
      </c>
      <c r="L20" s="101">
        <v>5.5</v>
      </c>
      <c r="M20" s="101">
        <f t="shared" si="3"/>
        <v>14.814466666666666</v>
      </c>
      <c r="N20" s="105">
        <f t="shared" si="7"/>
        <v>1.1481446666666666</v>
      </c>
      <c r="O20" s="101">
        <f t="shared" si="4"/>
        <v>1.07</v>
      </c>
      <c r="P20" s="124">
        <f t="shared" si="5"/>
        <v>1.2285</v>
      </c>
      <c r="Q20" s="125">
        <v>7.916</v>
      </c>
      <c r="R20" s="126">
        <v>1</v>
      </c>
      <c r="S20" s="127">
        <f aca="true" t="shared" si="10" ref="S20:S52">R20/12*Q20*F20/12</f>
        <v>0.7146388888888889</v>
      </c>
      <c r="T20" s="105">
        <f aca="true" t="shared" si="11" ref="T20:T52">R20/12*J20</f>
        <v>0.5833333333333333</v>
      </c>
      <c r="U20" s="127">
        <v>0.625</v>
      </c>
      <c r="V20" s="127">
        <f aca="true" t="shared" si="12" ref="V20:V52">S20+T20+U20</f>
        <v>1.922972222222222</v>
      </c>
      <c r="W20" s="127">
        <f t="shared" si="9"/>
        <v>1.2491</v>
      </c>
      <c r="X20" s="128">
        <f t="shared" si="8"/>
        <v>1.2697</v>
      </c>
      <c r="Z20" s="38" t="s">
        <v>8</v>
      </c>
      <c r="AA20" s="41">
        <f>INDEX(D16:D56,AA19)</f>
        <v>20</v>
      </c>
      <c r="AB20" s="50">
        <f>IF($W$6=1,VLOOKUP(AA20,$D$17:$X$56,20,FALSE),IF($W$6=2,VLOOKUP(AA20,$D$17:$X$56,21,FALSE),VLOOKUP(AA20,$D$17:$X$56,13,FALSE)))</f>
        <v>1.2441</v>
      </c>
      <c r="AC20" s="26" t="s">
        <v>44</v>
      </c>
      <c r="AD20" s="26">
        <v>1</v>
      </c>
      <c r="AG20" s="71"/>
    </row>
    <row r="21" spans="4:33" ht="19.5">
      <c r="D21" s="136">
        <v>40</v>
      </c>
      <c r="E21" s="101">
        <v>7.2722</v>
      </c>
      <c r="F21" s="102">
        <v>14</v>
      </c>
      <c r="G21" s="102">
        <v>3</v>
      </c>
      <c r="H21" s="103">
        <f t="shared" si="0"/>
        <v>0</v>
      </c>
      <c r="I21" s="103">
        <f t="shared" si="1"/>
        <v>0</v>
      </c>
      <c r="J21" s="104">
        <f t="shared" si="2"/>
        <v>7</v>
      </c>
      <c r="K21" s="101">
        <f t="shared" si="6"/>
        <v>1.1666666666666667</v>
      </c>
      <c r="L21" s="101">
        <v>5</v>
      </c>
      <c r="M21" s="101">
        <f t="shared" si="3"/>
        <v>13.438866666666666</v>
      </c>
      <c r="N21" s="105">
        <f t="shared" si="7"/>
        <v>1.1343886666666667</v>
      </c>
      <c r="O21" s="101">
        <f t="shared" si="4"/>
        <v>1.07</v>
      </c>
      <c r="P21" s="124">
        <f t="shared" si="5"/>
        <v>1.2138</v>
      </c>
      <c r="Q21" s="125">
        <v>7.026</v>
      </c>
      <c r="R21" s="126">
        <v>1</v>
      </c>
      <c r="S21" s="127">
        <f t="shared" si="10"/>
        <v>0.6830833333333333</v>
      </c>
      <c r="T21" s="105">
        <f t="shared" si="11"/>
        <v>0.5833333333333333</v>
      </c>
      <c r="U21" s="127">
        <v>0.625</v>
      </c>
      <c r="V21" s="127">
        <f t="shared" si="12"/>
        <v>1.8914166666666665</v>
      </c>
      <c r="W21" s="127">
        <f t="shared" si="9"/>
        <v>1.234</v>
      </c>
      <c r="X21" s="128">
        <f t="shared" si="8"/>
        <v>1.2543</v>
      </c>
      <c r="Z21" s="38" t="s">
        <v>12</v>
      </c>
      <c r="AA21" s="41"/>
      <c r="AB21" s="50">
        <f>ROUND((AB17-((AB17-AB20)*(AA16-AA17)/(AA20-AA17))),4)</f>
        <v>1.251</v>
      </c>
      <c r="AC21" s="26" t="s">
        <v>45</v>
      </c>
      <c r="AD21" s="26">
        <v>1</v>
      </c>
      <c r="AG21" s="71"/>
    </row>
    <row r="22" spans="4:30" ht="19.5">
      <c r="D22" s="136">
        <v>50</v>
      </c>
      <c r="E22" s="101">
        <v>6.6728</v>
      </c>
      <c r="F22" s="102">
        <v>15</v>
      </c>
      <c r="G22" s="102">
        <v>3</v>
      </c>
      <c r="H22" s="103">
        <f t="shared" si="0"/>
        <v>0</v>
      </c>
      <c r="I22" s="103">
        <f t="shared" si="1"/>
        <v>0</v>
      </c>
      <c r="J22" s="104">
        <f t="shared" si="2"/>
        <v>7</v>
      </c>
      <c r="K22" s="101">
        <f t="shared" si="6"/>
        <v>1.1666666666666667</v>
      </c>
      <c r="L22" s="101">
        <v>5</v>
      </c>
      <c r="M22" s="101">
        <f t="shared" si="3"/>
        <v>12.839466666666667</v>
      </c>
      <c r="N22" s="105">
        <f t="shared" si="7"/>
        <v>1.1283946666666667</v>
      </c>
      <c r="O22" s="101">
        <f t="shared" si="4"/>
        <v>1.07</v>
      </c>
      <c r="P22" s="124">
        <f t="shared" si="5"/>
        <v>1.2074</v>
      </c>
      <c r="Q22" s="125">
        <v>6.418</v>
      </c>
      <c r="R22" s="126">
        <v>1</v>
      </c>
      <c r="S22" s="127">
        <f t="shared" si="10"/>
        <v>0.6685416666666666</v>
      </c>
      <c r="T22" s="105">
        <f t="shared" si="11"/>
        <v>0.5833333333333333</v>
      </c>
      <c r="U22" s="127">
        <v>0.625</v>
      </c>
      <c r="V22" s="127">
        <f t="shared" si="12"/>
        <v>1.8768749999999998</v>
      </c>
      <c r="W22" s="127">
        <f t="shared" si="9"/>
        <v>1.2275</v>
      </c>
      <c r="X22" s="128">
        <f t="shared" si="8"/>
        <v>1.2475</v>
      </c>
      <c r="Z22" s="38">
        <v>0</v>
      </c>
      <c r="AA22" s="43">
        <v>5</v>
      </c>
      <c r="AB22" s="38">
        <v>7</v>
      </c>
      <c r="AC22" s="26" t="s">
        <v>47</v>
      </c>
      <c r="AD22" s="26">
        <v>1</v>
      </c>
    </row>
    <row r="23" spans="4:30" ht="19.5">
      <c r="D23" s="136">
        <v>60</v>
      </c>
      <c r="E23" s="101">
        <v>6.2195</v>
      </c>
      <c r="F23" s="102">
        <v>15</v>
      </c>
      <c r="G23" s="102">
        <v>3</v>
      </c>
      <c r="H23" s="103">
        <f t="shared" si="0"/>
        <v>0</v>
      </c>
      <c r="I23" s="103">
        <f t="shared" si="1"/>
        <v>0</v>
      </c>
      <c r="J23" s="104">
        <f t="shared" si="2"/>
        <v>7</v>
      </c>
      <c r="K23" s="101">
        <f t="shared" si="6"/>
        <v>1.1666666666666667</v>
      </c>
      <c r="L23" s="101">
        <v>5</v>
      </c>
      <c r="M23" s="101">
        <f t="shared" si="3"/>
        <v>12.386166666666668</v>
      </c>
      <c r="N23" s="105">
        <f t="shared" si="7"/>
        <v>1.1238616666666668</v>
      </c>
      <c r="O23" s="101">
        <f t="shared" si="4"/>
        <v>1.07</v>
      </c>
      <c r="P23" s="124">
        <f t="shared" si="5"/>
        <v>1.2025</v>
      </c>
      <c r="Q23" s="125">
        <v>5.964</v>
      </c>
      <c r="R23" s="126">
        <v>1</v>
      </c>
      <c r="S23" s="127">
        <f t="shared" si="10"/>
        <v>0.62125</v>
      </c>
      <c r="T23" s="105">
        <f t="shared" si="11"/>
        <v>0.5833333333333333</v>
      </c>
      <c r="U23" s="127">
        <v>0.625</v>
      </c>
      <c r="V23" s="127">
        <f t="shared" si="12"/>
        <v>1.8295833333333333</v>
      </c>
      <c r="W23" s="127">
        <f t="shared" si="9"/>
        <v>1.2221</v>
      </c>
      <c r="X23" s="128">
        <f t="shared" si="8"/>
        <v>1.2417</v>
      </c>
      <c r="Z23" s="38">
        <v>5</v>
      </c>
      <c r="AA23" s="43">
        <v>6</v>
      </c>
      <c r="AB23" s="38">
        <v>10</v>
      </c>
      <c r="AC23" s="26" t="s">
        <v>48</v>
      </c>
      <c r="AD23" s="26">
        <v>1</v>
      </c>
    </row>
    <row r="24" spans="4:30" ht="19.5">
      <c r="D24" s="136">
        <v>70</v>
      </c>
      <c r="E24" s="101">
        <v>5.8756</v>
      </c>
      <c r="F24" s="102">
        <v>16</v>
      </c>
      <c r="G24" s="102">
        <v>3</v>
      </c>
      <c r="H24" s="103">
        <f t="shared" si="0"/>
        <v>0</v>
      </c>
      <c r="I24" s="103">
        <f t="shared" si="1"/>
        <v>0</v>
      </c>
      <c r="J24" s="104">
        <f t="shared" si="2"/>
        <v>7</v>
      </c>
      <c r="K24" s="101">
        <f t="shared" si="6"/>
        <v>1.1666666666666667</v>
      </c>
      <c r="L24" s="101">
        <v>4.5</v>
      </c>
      <c r="M24" s="101">
        <f t="shared" si="3"/>
        <v>11.542266666666666</v>
      </c>
      <c r="N24" s="105">
        <f t="shared" si="7"/>
        <v>1.1154226666666667</v>
      </c>
      <c r="O24" s="101">
        <f t="shared" si="4"/>
        <v>1.07</v>
      </c>
      <c r="P24" s="137">
        <f t="shared" si="5"/>
        <v>1.1935</v>
      </c>
      <c r="Q24" s="125">
        <v>5.609</v>
      </c>
      <c r="R24" s="126">
        <v>1</v>
      </c>
      <c r="S24" s="127">
        <f t="shared" si="10"/>
        <v>0.6232222222222222</v>
      </c>
      <c r="T24" s="105">
        <f t="shared" si="11"/>
        <v>0.5833333333333333</v>
      </c>
      <c r="U24" s="127">
        <v>0.625</v>
      </c>
      <c r="V24" s="127">
        <f t="shared" si="12"/>
        <v>1.8315555555555556</v>
      </c>
      <c r="W24" s="127">
        <f t="shared" si="9"/>
        <v>1.2131</v>
      </c>
      <c r="X24" s="128">
        <f t="shared" si="8"/>
        <v>1.2327</v>
      </c>
      <c r="Z24" s="38">
        <v>10</v>
      </c>
      <c r="AA24" s="44">
        <v>7</v>
      </c>
      <c r="AB24" s="38"/>
      <c r="AC24" s="26" t="s">
        <v>50</v>
      </c>
      <c r="AD24" s="26">
        <v>1</v>
      </c>
    </row>
    <row r="25" spans="4:30" ht="19.5">
      <c r="D25" s="136">
        <v>80</v>
      </c>
      <c r="E25" s="101">
        <v>5.599</v>
      </c>
      <c r="F25" s="102">
        <v>17</v>
      </c>
      <c r="G25" s="102">
        <v>3</v>
      </c>
      <c r="H25" s="103">
        <f t="shared" si="0"/>
        <v>0</v>
      </c>
      <c r="I25" s="103">
        <f t="shared" si="1"/>
        <v>0</v>
      </c>
      <c r="J25" s="104">
        <f t="shared" si="2"/>
        <v>7</v>
      </c>
      <c r="K25" s="101">
        <f t="shared" si="6"/>
        <v>1.1666666666666667</v>
      </c>
      <c r="L25" s="101">
        <v>4.5</v>
      </c>
      <c r="M25" s="101">
        <f t="shared" si="3"/>
        <v>11.265666666666668</v>
      </c>
      <c r="N25" s="105">
        <f t="shared" si="7"/>
        <v>1.1126566666666666</v>
      </c>
      <c r="O25" s="101">
        <f t="shared" si="4"/>
        <v>1.07</v>
      </c>
      <c r="P25" s="124">
        <f t="shared" si="5"/>
        <v>1.1905</v>
      </c>
      <c r="Q25" s="125">
        <v>5.32</v>
      </c>
      <c r="R25" s="126">
        <v>1</v>
      </c>
      <c r="S25" s="127">
        <f t="shared" si="10"/>
        <v>0.6280555555555556</v>
      </c>
      <c r="T25" s="105">
        <f t="shared" si="11"/>
        <v>0.5833333333333333</v>
      </c>
      <c r="U25" s="127">
        <v>0.625</v>
      </c>
      <c r="V25" s="127">
        <f t="shared" si="12"/>
        <v>1.8363888888888888</v>
      </c>
      <c r="W25" s="127">
        <f t="shared" si="9"/>
        <v>1.2102</v>
      </c>
      <c r="X25" s="128">
        <f t="shared" si="8"/>
        <v>1.2298</v>
      </c>
      <c r="Z25" s="38">
        <v>15</v>
      </c>
      <c r="AA25" s="44">
        <v>8</v>
      </c>
      <c r="AB25" s="38"/>
      <c r="AC25" s="26" t="s">
        <v>51</v>
      </c>
      <c r="AD25" s="26">
        <v>1</v>
      </c>
    </row>
    <row r="26" spans="4:30" ht="19.5">
      <c r="D26" s="136">
        <v>90</v>
      </c>
      <c r="E26" s="101">
        <v>5.3706</v>
      </c>
      <c r="F26" s="102">
        <v>18</v>
      </c>
      <c r="G26" s="102">
        <v>3</v>
      </c>
      <c r="H26" s="103">
        <f t="shared" si="0"/>
        <v>0</v>
      </c>
      <c r="I26" s="103">
        <f t="shared" si="1"/>
        <v>0</v>
      </c>
      <c r="J26" s="104">
        <f t="shared" si="2"/>
        <v>7</v>
      </c>
      <c r="K26" s="101">
        <f t="shared" si="6"/>
        <v>1.1666666666666667</v>
      </c>
      <c r="L26" s="101">
        <v>4.5</v>
      </c>
      <c r="M26" s="101">
        <f t="shared" si="3"/>
        <v>11.037266666666667</v>
      </c>
      <c r="N26" s="105">
        <f t="shared" si="7"/>
        <v>1.1103726666666667</v>
      </c>
      <c r="O26" s="101">
        <f t="shared" si="4"/>
        <v>1.07</v>
      </c>
      <c r="P26" s="124">
        <f t="shared" si="5"/>
        <v>1.1881</v>
      </c>
      <c r="Q26" s="125">
        <v>5.084</v>
      </c>
      <c r="R26" s="126">
        <v>1</v>
      </c>
      <c r="S26" s="127">
        <f t="shared" si="10"/>
        <v>0.6355</v>
      </c>
      <c r="T26" s="105">
        <f t="shared" si="11"/>
        <v>0.5833333333333333</v>
      </c>
      <c r="U26" s="127">
        <v>0.625</v>
      </c>
      <c r="V26" s="127">
        <f t="shared" si="12"/>
        <v>1.8438333333333332</v>
      </c>
      <c r="W26" s="127">
        <f t="shared" si="9"/>
        <v>1.2078</v>
      </c>
      <c r="X26" s="128">
        <f t="shared" si="8"/>
        <v>1.2276</v>
      </c>
      <c r="Z26" s="38"/>
      <c r="AA26" s="43">
        <v>9</v>
      </c>
      <c r="AB26" s="38"/>
      <c r="AC26" s="26" t="s">
        <v>53</v>
      </c>
      <c r="AD26" s="26">
        <v>1</v>
      </c>
    </row>
    <row r="27" spans="4:30" ht="19.5">
      <c r="D27" s="136">
        <v>100</v>
      </c>
      <c r="E27" s="101">
        <v>5.1678</v>
      </c>
      <c r="F27" s="102">
        <v>18</v>
      </c>
      <c r="G27" s="102">
        <v>3</v>
      </c>
      <c r="H27" s="103">
        <f t="shared" si="0"/>
        <v>0</v>
      </c>
      <c r="I27" s="103">
        <f t="shared" si="1"/>
        <v>0</v>
      </c>
      <c r="J27" s="104">
        <f t="shared" si="2"/>
        <v>7</v>
      </c>
      <c r="K27" s="101">
        <f t="shared" si="6"/>
        <v>1.1666666666666667</v>
      </c>
      <c r="L27" s="101">
        <v>4.5</v>
      </c>
      <c r="M27" s="101">
        <f t="shared" si="3"/>
        <v>10.834466666666668</v>
      </c>
      <c r="N27" s="105">
        <f t="shared" si="7"/>
        <v>1.1083446666666668</v>
      </c>
      <c r="O27" s="101">
        <f t="shared" si="4"/>
        <v>1.07</v>
      </c>
      <c r="P27" s="124">
        <f t="shared" si="5"/>
        <v>1.1859</v>
      </c>
      <c r="Q27" s="125">
        <v>4.88</v>
      </c>
      <c r="R27" s="126">
        <v>1</v>
      </c>
      <c r="S27" s="127">
        <f t="shared" si="10"/>
        <v>0.61</v>
      </c>
      <c r="T27" s="105">
        <f t="shared" si="11"/>
        <v>0.5833333333333333</v>
      </c>
      <c r="U27" s="127">
        <v>0.625</v>
      </c>
      <c r="V27" s="127">
        <f t="shared" si="12"/>
        <v>1.8183333333333334</v>
      </c>
      <c r="W27" s="127">
        <f t="shared" si="9"/>
        <v>1.2054</v>
      </c>
      <c r="X27" s="128">
        <f t="shared" si="8"/>
        <v>1.2248</v>
      </c>
      <c r="Z27" s="38"/>
      <c r="AA27" s="43">
        <v>10</v>
      </c>
      <c r="AB27" s="38"/>
      <c r="AC27" s="26" t="s">
        <v>57</v>
      </c>
      <c r="AD27" s="26">
        <v>1</v>
      </c>
    </row>
    <row r="28" spans="4:30" ht="19.5">
      <c r="D28" s="136">
        <v>110</v>
      </c>
      <c r="E28" s="101">
        <v>5.0032</v>
      </c>
      <c r="F28" s="102">
        <v>19</v>
      </c>
      <c r="G28" s="102">
        <v>3</v>
      </c>
      <c r="H28" s="103">
        <f t="shared" si="0"/>
        <v>0</v>
      </c>
      <c r="I28" s="103">
        <f t="shared" si="1"/>
        <v>0</v>
      </c>
      <c r="J28" s="104">
        <f t="shared" si="2"/>
        <v>7</v>
      </c>
      <c r="K28" s="101">
        <f t="shared" si="6"/>
        <v>1.1666666666666667</v>
      </c>
      <c r="L28" s="101">
        <v>4</v>
      </c>
      <c r="M28" s="101">
        <f t="shared" si="3"/>
        <v>10.169866666666667</v>
      </c>
      <c r="N28" s="105">
        <f t="shared" si="7"/>
        <v>1.1016986666666666</v>
      </c>
      <c r="O28" s="101">
        <f t="shared" si="4"/>
        <v>1.07</v>
      </c>
      <c r="P28" s="124">
        <f t="shared" si="5"/>
        <v>1.1788</v>
      </c>
      <c r="Q28" s="125">
        <v>4.706</v>
      </c>
      <c r="R28" s="126">
        <v>1</v>
      </c>
      <c r="S28" s="127">
        <f t="shared" si="10"/>
        <v>0.6209305555555555</v>
      </c>
      <c r="T28" s="105">
        <f t="shared" si="11"/>
        <v>0.5833333333333333</v>
      </c>
      <c r="U28" s="127">
        <v>0.625</v>
      </c>
      <c r="V28" s="127">
        <f t="shared" si="12"/>
        <v>1.8292638888888888</v>
      </c>
      <c r="W28" s="127">
        <f t="shared" si="9"/>
        <v>1.1984</v>
      </c>
      <c r="X28" s="128">
        <f t="shared" si="8"/>
        <v>1.218</v>
      </c>
      <c r="AC28" s="26" t="s">
        <v>58</v>
      </c>
      <c r="AD28" s="26">
        <v>1</v>
      </c>
    </row>
    <row r="29" spans="4:30" ht="19.5">
      <c r="D29" s="136">
        <v>120</v>
      </c>
      <c r="E29" s="101">
        <v>4.8499</v>
      </c>
      <c r="F29" s="102">
        <v>19</v>
      </c>
      <c r="G29" s="102">
        <v>3</v>
      </c>
      <c r="H29" s="103">
        <f t="shared" si="0"/>
        <v>0</v>
      </c>
      <c r="I29" s="103">
        <f t="shared" si="1"/>
        <v>0</v>
      </c>
      <c r="J29" s="104">
        <f t="shared" si="2"/>
        <v>7</v>
      </c>
      <c r="K29" s="101">
        <f t="shared" si="6"/>
        <v>1.1666666666666667</v>
      </c>
      <c r="L29" s="101">
        <v>4</v>
      </c>
      <c r="M29" s="101">
        <f t="shared" si="3"/>
        <v>10.016566666666666</v>
      </c>
      <c r="N29" s="105">
        <f t="shared" si="7"/>
        <v>1.1001656666666666</v>
      </c>
      <c r="O29" s="101">
        <f t="shared" si="4"/>
        <v>1.07</v>
      </c>
      <c r="P29" s="124">
        <f t="shared" si="5"/>
        <v>1.1772</v>
      </c>
      <c r="Q29" s="125">
        <v>4.555</v>
      </c>
      <c r="R29" s="126">
        <v>1</v>
      </c>
      <c r="S29" s="127">
        <f t="shared" si="10"/>
        <v>0.6010069444444444</v>
      </c>
      <c r="T29" s="105">
        <f t="shared" si="11"/>
        <v>0.5833333333333333</v>
      </c>
      <c r="U29" s="127">
        <v>0.625</v>
      </c>
      <c r="V29" s="127">
        <f t="shared" si="12"/>
        <v>1.8093402777777776</v>
      </c>
      <c r="W29" s="127">
        <f t="shared" si="9"/>
        <v>1.1965</v>
      </c>
      <c r="X29" s="128">
        <f t="shared" si="8"/>
        <v>1.2159</v>
      </c>
      <c r="AC29" s="26" t="s">
        <v>59</v>
      </c>
      <c r="AD29" s="26">
        <v>1</v>
      </c>
    </row>
    <row r="30" spans="4:30" ht="19.5">
      <c r="D30" s="136">
        <v>130</v>
      </c>
      <c r="E30" s="101">
        <v>4.7248</v>
      </c>
      <c r="F30" s="102">
        <v>20</v>
      </c>
      <c r="G30" s="102">
        <v>3</v>
      </c>
      <c r="H30" s="103">
        <f t="shared" si="0"/>
        <v>0</v>
      </c>
      <c r="I30" s="103">
        <f t="shared" si="1"/>
        <v>0</v>
      </c>
      <c r="J30" s="104">
        <f t="shared" si="2"/>
        <v>7</v>
      </c>
      <c r="K30" s="101">
        <f t="shared" si="6"/>
        <v>1.1666666666666667</v>
      </c>
      <c r="L30" s="101">
        <v>4</v>
      </c>
      <c r="M30" s="101">
        <f t="shared" si="3"/>
        <v>9.891466666666666</v>
      </c>
      <c r="N30" s="105">
        <f t="shared" si="7"/>
        <v>1.0989146666666667</v>
      </c>
      <c r="O30" s="101">
        <f t="shared" si="4"/>
        <v>1.07</v>
      </c>
      <c r="P30" s="124">
        <f t="shared" si="5"/>
        <v>1.1758</v>
      </c>
      <c r="Q30" s="125">
        <v>4.416</v>
      </c>
      <c r="R30" s="126">
        <v>1</v>
      </c>
      <c r="S30" s="127">
        <f t="shared" si="10"/>
        <v>0.6133333333333333</v>
      </c>
      <c r="T30" s="105">
        <f t="shared" si="11"/>
        <v>0.5833333333333333</v>
      </c>
      <c r="U30" s="127">
        <v>0.625</v>
      </c>
      <c r="V30" s="127">
        <f t="shared" si="12"/>
        <v>1.8216666666666665</v>
      </c>
      <c r="W30" s="127">
        <f t="shared" si="9"/>
        <v>1.1953</v>
      </c>
      <c r="X30" s="128">
        <f t="shared" si="8"/>
        <v>1.2148</v>
      </c>
      <c r="AC30" s="26" t="s">
        <v>60</v>
      </c>
      <c r="AD30" s="26">
        <v>1</v>
      </c>
    </row>
    <row r="31" spans="4:30" ht="19.5">
      <c r="D31" s="136">
        <v>140</v>
      </c>
      <c r="E31" s="101">
        <v>4.6037</v>
      </c>
      <c r="F31" s="102">
        <v>20</v>
      </c>
      <c r="G31" s="102">
        <v>3</v>
      </c>
      <c r="H31" s="103">
        <f t="shared" si="0"/>
        <v>0</v>
      </c>
      <c r="I31" s="103">
        <f t="shared" si="1"/>
        <v>0</v>
      </c>
      <c r="J31" s="104">
        <f t="shared" si="2"/>
        <v>7</v>
      </c>
      <c r="K31" s="101">
        <f t="shared" si="6"/>
        <v>1.1666666666666667</v>
      </c>
      <c r="L31" s="101">
        <v>4</v>
      </c>
      <c r="M31" s="101">
        <f t="shared" si="3"/>
        <v>9.770366666666668</v>
      </c>
      <c r="N31" s="105">
        <f t="shared" si="7"/>
        <v>1.0977036666666666</v>
      </c>
      <c r="O31" s="101">
        <f t="shared" si="4"/>
        <v>1.07</v>
      </c>
      <c r="P31" s="124">
        <f t="shared" si="5"/>
        <v>1.1745</v>
      </c>
      <c r="Q31" s="125">
        <v>4.295</v>
      </c>
      <c r="R31" s="126">
        <v>1</v>
      </c>
      <c r="S31" s="127">
        <f t="shared" si="10"/>
        <v>0.5965277777777778</v>
      </c>
      <c r="T31" s="105">
        <f t="shared" si="11"/>
        <v>0.5833333333333333</v>
      </c>
      <c r="U31" s="127">
        <v>0.625</v>
      </c>
      <c r="V31" s="127">
        <f t="shared" si="12"/>
        <v>1.804861111111111</v>
      </c>
      <c r="W31" s="127">
        <f t="shared" si="9"/>
        <v>1.1939</v>
      </c>
      <c r="X31" s="128">
        <f t="shared" si="8"/>
        <v>1.2132</v>
      </c>
      <c r="AC31" s="26" t="s">
        <v>46</v>
      </c>
      <c r="AD31" s="26">
        <v>2</v>
      </c>
    </row>
    <row r="32" spans="4:30" ht="19.5">
      <c r="D32" s="136">
        <v>150</v>
      </c>
      <c r="E32" s="101">
        <v>4.4946</v>
      </c>
      <c r="F32" s="102">
        <v>20</v>
      </c>
      <c r="G32" s="102">
        <v>3</v>
      </c>
      <c r="H32" s="103">
        <f t="shared" si="0"/>
        <v>0</v>
      </c>
      <c r="I32" s="103">
        <f t="shared" si="1"/>
        <v>0</v>
      </c>
      <c r="J32" s="104">
        <f t="shared" si="2"/>
        <v>7</v>
      </c>
      <c r="K32" s="101">
        <f t="shared" si="6"/>
        <v>1.1666666666666667</v>
      </c>
      <c r="L32" s="101">
        <v>4</v>
      </c>
      <c r="M32" s="101">
        <f t="shared" si="3"/>
        <v>9.661266666666666</v>
      </c>
      <c r="N32" s="105">
        <f t="shared" si="7"/>
        <v>1.0966126666666667</v>
      </c>
      <c r="O32" s="101">
        <f t="shared" si="4"/>
        <v>1.07</v>
      </c>
      <c r="P32" s="124">
        <f t="shared" si="5"/>
        <v>1.1734</v>
      </c>
      <c r="Q32" s="125">
        <v>4.186</v>
      </c>
      <c r="R32" s="126">
        <v>1</v>
      </c>
      <c r="S32" s="127">
        <f t="shared" si="10"/>
        <v>0.5813888888888888</v>
      </c>
      <c r="T32" s="105">
        <f t="shared" si="11"/>
        <v>0.5833333333333333</v>
      </c>
      <c r="U32" s="127">
        <v>0.625</v>
      </c>
      <c r="V32" s="127">
        <f t="shared" si="12"/>
        <v>1.7897222222222222</v>
      </c>
      <c r="W32" s="127">
        <f t="shared" si="9"/>
        <v>1.1925</v>
      </c>
      <c r="X32" s="128">
        <f t="shared" si="8"/>
        <v>1.2117</v>
      </c>
      <c r="AC32" s="26" t="s">
        <v>49</v>
      </c>
      <c r="AD32" s="26">
        <v>2</v>
      </c>
    </row>
    <row r="33" spans="4:30" ht="19.5">
      <c r="D33" s="136">
        <v>160</v>
      </c>
      <c r="E33" s="101">
        <v>4.4061</v>
      </c>
      <c r="F33" s="102">
        <v>21</v>
      </c>
      <c r="G33" s="102">
        <v>3</v>
      </c>
      <c r="H33" s="103">
        <f t="shared" si="0"/>
        <v>0</v>
      </c>
      <c r="I33" s="103">
        <f t="shared" si="1"/>
        <v>0</v>
      </c>
      <c r="J33" s="104">
        <f t="shared" si="2"/>
        <v>7</v>
      </c>
      <c r="K33" s="101">
        <f t="shared" si="6"/>
        <v>1.1666666666666667</v>
      </c>
      <c r="L33" s="101">
        <v>4</v>
      </c>
      <c r="M33" s="101">
        <f t="shared" si="3"/>
        <v>9.572766666666666</v>
      </c>
      <c r="N33" s="105">
        <f t="shared" si="7"/>
        <v>1.0957276666666667</v>
      </c>
      <c r="O33" s="101">
        <f t="shared" si="4"/>
        <v>1.07</v>
      </c>
      <c r="P33" s="124">
        <f t="shared" si="5"/>
        <v>1.1724</v>
      </c>
      <c r="Q33" s="125">
        <v>4.087</v>
      </c>
      <c r="R33" s="126">
        <v>1</v>
      </c>
      <c r="S33" s="127">
        <f t="shared" si="10"/>
        <v>0.5960208333333333</v>
      </c>
      <c r="T33" s="105">
        <f t="shared" si="11"/>
        <v>0.5833333333333333</v>
      </c>
      <c r="U33" s="127">
        <v>0.625</v>
      </c>
      <c r="V33" s="127">
        <f t="shared" si="12"/>
        <v>1.8043541666666667</v>
      </c>
      <c r="W33" s="127">
        <f t="shared" si="9"/>
        <v>1.1917</v>
      </c>
      <c r="X33" s="128">
        <f t="shared" si="8"/>
        <v>1.211</v>
      </c>
      <c r="AC33" s="26" t="s">
        <v>52</v>
      </c>
      <c r="AD33" s="26">
        <v>2</v>
      </c>
    </row>
    <row r="34" spans="4:30" ht="19.5">
      <c r="D34" s="136">
        <v>170</v>
      </c>
      <c r="E34" s="101">
        <v>4.3158</v>
      </c>
      <c r="F34" s="102">
        <v>21</v>
      </c>
      <c r="G34" s="102">
        <v>3</v>
      </c>
      <c r="H34" s="103">
        <f t="shared" si="0"/>
        <v>0</v>
      </c>
      <c r="I34" s="103">
        <f t="shared" si="1"/>
        <v>0</v>
      </c>
      <c r="J34" s="104">
        <f t="shared" si="2"/>
        <v>7</v>
      </c>
      <c r="K34" s="101">
        <f t="shared" si="6"/>
        <v>1.1666666666666667</v>
      </c>
      <c r="L34" s="101">
        <v>4</v>
      </c>
      <c r="M34" s="101">
        <f t="shared" si="3"/>
        <v>9.482466666666667</v>
      </c>
      <c r="N34" s="105">
        <f t="shared" si="7"/>
        <v>1.0948246666666668</v>
      </c>
      <c r="O34" s="101">
        <f t="shared" si="4"/>
        <v>1.07</v>
      </c>
      <c r="P34" s="124">
        <f t="shared" si="5"/>
        <v>1.1715</v>
      </c>
      <c r="Q34" s="125">
        <v>3.998</v>
      </c>
      <c r="R34" s="126">
        <v>1</v>
      </c>
      <c r="S34" s="127">
        <f t="shared" si="10"/>
        <v>0.5830416666666667</v>
      </c>
      <c r="T34" s="105">
        <f t="shared" si="11"/>
        <v>0.5833333333333333</v>
      </c>
      <c r="U34" s="127">
        <v>0.625</v>
      </c>
      <c r="V34" s="127">
        <f t="shared" si="12"/>
        <v>1.791375</v>
      </c>
      <c r="W34" s="127">
        <f t="shared" si="9"/>
        <v>1.1906</v>
      </c>
      <c r="X34" s="128">
        <f t="shared" si="8"/>
        <v>1.2098</v>
      </c>
      <c r="AC34" s="26" t="s">
        <v>54</v>
      </c>
      <c r="AD34" s="26">
        <v>2</v>
      </c>
    </row>
    <row r="35" spans="4:30" ht="19.5">
      <c r="D35" s="136">
        <v>180</v>
      </c>
      <c r="E35" s="101">
        <v>4.2434</v>
      </c>
      <c r="F35" s="102">
        <v>22</v>
      </c>
      <c r="G35" s="102">
        <v>3</v>
      </c>
      <c r="H35" s="103">
        <f t="shared" si="0"/>
        <v>0</v>
      </c>
      <c r="I35" s="103">
        <f t="shared" si="1"/>
        <v>0</v>
      </c>
      <c r="J35" s="104">
        <f t="shared" si="2"/>
        <v>7</v>
      </c>
      <c r="K35" s="101">
        <f t="shared" si="6"/>
        <v>1.1666666666666667</v>
      </c>
      <c r="L35" s="101">
        <v>4</v>
      </c>
      <c r="M35" s="101">
        <f t="shared" si="3"/>
        <v>9.410066666666667</v>
      </c>
      <c r="N35" s="105">
        <f t="shared" si="7"/>
        <v>1.0941006666666666</v>
      </c>
      <c r="O35" s="101">
        <f t="shared" si="4"/>
        <v>1.07</v>
      </c>
      <c r="P35" s="124">
        <f>ROUND(N35*O35,4)</f>
        <v>1.1707</v>
      </c>
      <c r="Q35" s="125">
        <v>3.91</v>
      </c>
      <c r="R35" s="126">
        <v>1</v>
      </c>
      <c r="S35" s="127">
        <f t="shared" si="10"/>
        <v>0.5973611111111111</v>
      </c>
      <c r="T35" s="105">
        <f t="shared" si="11"/>
        <v>0.5833333333333333</v>
      </c>
      <c r="U35" s="127">
        <v>0.625</v>
      </c>
      <c r="V35" s="127">
        <f t="shared" si="12"/>
        <v>1.8056944444444443</v>
      </c>
      <c r="W35" s="127">
        <f t="shared" si="9"/>
        <v>1.19</v>
      </c>
      <c r="X35" s="128">
        <f t="shared" si="8"/>
        <v>1.2093</v>
      </c>
      <c r="AC35" s="26" t="s">
        <v>55</v>
      </c>
      <c r="AD35" s="26">
        <v>2</v>
      </c>
    </row>
    <row r="36" spans="4:30" ht="19.5">
      <c r="D36" s="136">
        <v>190</v>
      </c>
      <c r="E36" s="101">
        <v>4.1775</v>
      </c>
      <c r="F36" s="102">
        <v>23</v>
      </c>
      <c r="G36" s="102">
        <v>3</v>
      </c>
      <c r="H36" s="103">
        <f t="shared" si="0"/>
        <v>0</v>
      </c>
      <c r="I36" s="103">
        <f t="shared" si="1"/>
        <v>0</v>
      </c>
      <c r="J36" s="104">
        <f t="shared" si="2"/>
        <v>7</v>
      </c>
      <c r="K36" s="101">
        <f t="shared" si="6"/>
        <v>1.1666666666666667</v>
      </c>
      <c r="L36" s="101">
        <v>3.5</v>
      </c>
      <c r="M36" s="101">
        <f t="shared" si="3"/>
        <v>8.844166666666666</v>
      </c>
      <c r="N36" s="105">
        <f t="shared" si="7"/>
        <v>1.0884416666666668</v>
      </c>
      <c r="O36" s="101">
        <f t="shared" si="4"/>
        <v>1.07</v>
      </c>
      <c r="P36" s="124">
        <f>ROUND(N36*O36,4)</f>
        <v>1.1646</v>
      </c>
      <c r="Q36" s="125">
        <v>3.838</v>
      </c>
      <c r="R36" s="126">
        <v>1</v>
      </c>
      <c r="S36" s="127">
        <f t="shared" si="10"/>
        <v>0.6130138888888889</v>
      </c>
      <c r="T36" s="105">
        <f t="shared" si="11"/>
        <v>0.5833333333333333</v>
      </c>
      <c r="U36" s="127">
        <v>0.625</v>
      </c>
      <c r="V36" s="127">
        <f t="shared" si="12"/>
        <v>1.8213472222222222</v>
      </c>
      <c r="W36" s="127">
        <f t="shared" si="9"/>
        <v>1.1841</v>
      </c>
      <c r="X36" s="128">
        <f t="shared" si="8"/>
        <v>1.2036</v>
      </c>
      <c r="AC36" s="26" t="s">
        <v>56</v>
      </c>
      <c r="AD36" s="26">
        <v>2</v>
      </c>
    </row>
    <row r="37" spans="4:30" ht="19.5">
      <c r="D37" s="136">
        <v>200</v>
      </c>
      <c r="E37" s="101">
        <v>4.1069</v>
      </c>
      <c r="F37" s="102">
        <v>23</v>
      </c>
      <c r="G37" s="102">
        <v>3</v>
      </c>
      <c r="H37" s="103">
        <f t="shared" si="0"/>
        <v>0</v>
      </c>
      <c r="I37" s="103">
        <f t="shared" si="1"/>
        <v>0</v>
      </c>
      <c r="J37" s="104">
        <f t="shared" si="2"/>
        <v>7</v>
      </c>
      <c r="K37" s="101">
        <f t="shared" si="6"/>
        <v>1.1666666666666667</v>
      </c>
      <c r="L37" s="101">
        <v>3.5</v>
      </c>
      <c r="M37" s="101">
        <f t="shared" si="3"/>
        <v>8.773566666666667</v>
      </c>
      <c r="N37" s="105">
        <f t="shared" si="7"/>
        <v>1.0877356666666667</v>
      </c>
      <c r="O37" s="101">
        <f t="shared" si="4"/>
        <v>1.07</v>
      </c>
      <c r="P37" s="124">
        <f>ROUND(N37*O37,4)</f>
        <v>1.1639</v>
      </c>
      <c r="Q37" s="125">
        <v>3.768</v>
      </c>
      <c r="R37" s="126">
        <v>1</v>
      </c>
      <c r="S37" s="127">
        <f t="shared" si="10"/>
        <v>0.6018333333333332</v>
      </c>
      <c r="T37" s="105">
        <f t="shared" si="11"/>
        <v>0.5833333333333333</v>
      </c>
      <c r="U37" s="127">
        <v>0.625</v>
      </c>
      <c r="V37" s="127">
        <f t="shared" si="12"/>
        <v>1.8101666666666665</v>
      </c>
      <c r="W37" s="127">
        <f t="shared" si="9"/>
        <v>1.1832</v>
      </c>
      <c r="X37" s="128">
        <f t="shared" si="8"/>
        <v>1.2026</v>
      </c>
      <c r="AC37" s="26" t="s">
        <v>63</v>
      </c>
      <c r="AD37" s="26">
        <v>3</v>
      </c>
    </row>
    <row r="38" spans="4:24" ht="19.5">
      <c r="D38" s="136">
        <v>210</v>
      </c>
      <c r="E38" s="101">
        <v>4.0412</v>
      </c>
      <c r="F38" s="102">
        <v>23</v>
      </c>
      <c r="G38" s="102">
        <v>3</v>
      </c>
      <c r="H38" s="103">
        <f t="shared" si="0"/>
        <v>0</v>
      </c>
      <c r="I38" s="103">
        <f t="shared" si="1"/>
        <v>0</v>
      </c>
      <c r="J38" s="104">
        <f t="shared" si="2"/>
        <v>7</v>
      </c>
      <c r="K38" s="101">
        <f t="shared" si="6"/>
        <v>1.1666666666666667</v>
      </c>
      <c r="L38" s="101">
        <v>3.5</v>
      </c>
      <c r="M38" s="101">
        <f t="shared" si="3"/>
        <v>8.707866666666668</v>
      </c>
      <c r="N38" s="105">
        <f t="shared" si="7"/>
        <v>1.0870786666666667</v>
      </c>
      <c r="O38" s="101">
        <f t="shared" si="4"/>
        <v>1.07</v>
      </c>
      <c r="P38" s="124">
        <f t="shared" si="5"/>
        <v>1.1632</v>
      </c>
      <c r="Q38" s="125">
        <v>3.702</v>
      </c>
      <c r="R38" s="126">
        <v>1</v>
      </c>
      <c r="S38" s="127">
        <f t="shared" si="10"/>
        <v>0.5912916666666667</v>
      </c>
      <c r="T38" s="105">
        <f t="shared" si="11"/>
        <v>0.5833333333333333</v>
      </c>
      <c r="U38" s="127">
        <v>0.625</v>
      </c>
      <c r="V38" s="127">
        <f t="shared" si="12"/>
        <v>1.7996249999999998</v>
      </c>
      <c r="W38" s="127">
        <f t="shared" si="9"/>
        <v>1.1824</v>
      </c>
      <c r="X38" s="128">
        <f t="shared" si="8"/>
        <v>1.2017</v>
      </c>
    </row>
    <row r="39" spans="4:24" ht="19.5">
      <c r="D39" s="136">
        <v>220</v>
      </c>
      <c r="E39" s="101">
        <v>3.9903</v>
      </c>
      <c r="F39" s="102">
        <v>24</v>
      </c>
      <c r="G39" s="102">
        <v>3</v>
      </c>
      <c r="H39" s="103">
        <f t="shared" si="0"/>
        <v>0</v>
      </c>
      <c r="I39" s="103">
        <f t="shared" si="1"/>
        <v>0</v>
      </c>
      <c r="J39" s="104">
        <f t="shared" si="2"/>
        <v>7</v>
      </c>
      <c r="K39" s="101">
        <f t="shared" si="6"/>
        <v>1.1666666666666667</v>
      </c>
      <c r="L39" s="101">
        <v>3.5</v>
      </c>
      <c r="M39" s="101">
        <f t="shared" si="3"/>
        <v>8.656966666666666</v>
      </c>
      <c r="N39" s="105">
        <f t="shared" si="7"/>
        <v>1.0865696666666667</v>
      </c>
      <c r="O39" s="101">
        <f t="shared" si="4"/>
        <v>1.07</v>
      </c>
      <c r="P39" s="124">
        <f t="shared" si="5"/>
        <v>1.1626</v>
      </c>
      <c r="Q39" s="125">
        <v>3.641</v>
      </c>
      <c r="R39" s="126">
        <v>1</v>
      </c>
      <c r="S39" s="127">
        <f t="shared" si="10"/>
        <v>0.6068333333333333</v>
      </c>
      <c r="T39" s="105">
        <f t="shared" si="11"/>
        <v>0.5833333333333333</v>
      </c>
      <c r="U39" s="127">
        <v>0.625</v>
      </c>
      <c r="V39" s="127">
        <f t="shared" si="12"/>
        <v>1.8151666666666666</v>
      </c>
      <c r="W39" s="127">
        <f t="shared" si="9"/>
        <v>1.1821</v>
      </c>
      <c r="X39" s="128">
        <f t="shared" si="8"/>
        <v>1.2015</v>
      </c>
    </row>
    <row r="40" spans="4:24" ht="19.5">
      <c r="D40" s="136">
        <v>230</v>
      </c>
      <c r="E40" s="101">
        <v>3.933</v>
      </c>
      <c r="F40" s="102">
        <v>24</v>
      </c>
      <c r="G40" s="102">
        <v>3</v>
      </c>
      <c r="H40" s="103">
        <f t="shared" si="0"/>
        <v>0</v>
      </c>
      <c r="I40" s="103">
        <f t="shared" si="1"/>
        <v>0</v>
      </c>
      <c r="J40" s="104">
        <f t="shared" si="2"/>
        <v>7</v>
      </c>
      <c r="K40" s="101">
        <f t="shared" si="6"/>
        <v>1.1666666666666667</v>
      </c>
      <c r="L40" s="101">
        <v>3.5</v>
      </c>
      <c r="M40" s="101">
        <f t="shared" si="3"/>
        <v>8.599666666666668</v>
      </c>
      <c r="N40" s="105">
        <f t="shared" si="7"/>
        <v>1.0859966666666667</v>
      </c>
      <c r="O40" s="101">
        <f t="shared" si="4"/>
        <v>1.07</v>
      </c>
      <c r="P40" s="124">
        <f t="shared" si="5"/>
        <v>1.162</v>
      </c>
      <c r="Q40" s="125">
        <v>3.582</v>
      </c>
      <c r="R40" s="126">
        <v>1</v>
      </c>
      <c r="S40" s="127">
        <f t="shared" si="10"/>
        <v>0.597</v>
      </c>
      <c r="T40" s="105">
        <f t="shared" si="11"/>
        <v>0.5833333333333333</v>
      </c>
      <c r="U40" s="127">
        <v>0.625</v>
      </c>
      <c r="V40" s="127">
        <f t="shared" si="12"/>
        <v>1.8053333333333332</v>
      </c>
      <c r="W40" s="127">
        <f t="shared" si="9"/>
        <v>1.1813</v>
      </c>
      <c r="X40" s="128">
        <f t="shared" si="8"/>
        <v>1.2007</v>
      </c>
    </row>
    <row r="41" spans="4:24" ht="19.5">
      <c r="D41" s="136">
        <v>240</v>
      </c>
      <c r="E41" s="101">
        <v>3.8897</v>
      </c>
      <c r="F41" s="102">
        <v>25</v>
      </c>
      <c r="G41" s="102">
        <v>3</v>
      </c>
      <c r="H41" s="103">
        <f t="shared" si="0"/>
        <v>0</v>
      </c>
      <c r="I41" s="103">
        <f t="shared" si="1"/>
        <v>0</v>
      </c>
      <c r="J41" s="104">
        <f t="shared" si="2"/>
        <v>7</v>
      </c>
      <c r="K41" s="101">
        <f t="shared" si="6"/>
        <v>1.1666666666666667</v>
      </c>
      <c r="L41" s="101">
        <v>3.5</v>
      </c>
      <c r="M41" s="101">
        <f t="shared" si="3"/>
        <v>8.556366666666666</v>
      </c>
      <c r="N41" s="105">
        <f t="shared" si="7"/>
        <v>1.0855636666666666</v>
      </c>
      <c r="O41" s="101">
        <f t="shared" si="4"/>
        <v>1.07</v>
      </c>
      <c r="P41" s="124">
        <f t="shared" si="5"/>
        <v>1.1616</v>
      </c>
      <c r="Q41" s="125">
        <v>3.53</v>
      </c>
      <c r="R41" s="126">
        <v>1</v>
      </c>
      <c r="S41" s="127">
        <f t="shared" si="10"/>
        <v>0.6128472222222222</v>
      </c>
      <c r="T41" s="105">
        <f t="shared" si="11"/>
        <v>0.5833333333333333</v>
      </c>
      <c r="U41" s="127">
        <v>0.625</v>
      </c>
      <c r="V41" s="127">
        <f t="shared" si="12"/>
        <v>1.8211805555555554</v>
      </c>
      <c r="W41" s="127">
        <f t="shared" si="9"/>
        <v>1.181</v>
      </c>
      <c r="X41" s="128">
        <f t="shared" si="8"/>
        <v>1.2005</v>
      </c>
    </row>
    <row r="42" spans="4:24" ht="19.5">
      <c r="D42" s="136">
        <v>250</v>
      </c>
      <c r="E42" s="101">
        <v>3.8391</v>
      </c>
      <c r="F42" s="102">
        <v>25</v>
      </c>
      <c r="G42" s="102">
        <v>3</v>
      </c>
      <c r="H42" s="103">
        <f t="shared" si="0"/>
        <v>0</v>
      </c>
      <c r="I42" s="103">
        <f t="shared" si="1"/>
        <v>0</v>
      </c>
      <c r="J42" s="104">
        <f t="shared" si="2"/>
        <v>7</v>
      </c>
      <c r="K42" s="101">
        <f t="shared" si="6"/>
        <v>1.1666666666666667</v>
      </c>
      <c r="L42" s="101">
        <v>3.5</v>
      </c>
      <c r="M42" s="101">
        <f t="shared" si="3"/>
        <v>8.505766666666666</v>
      </c>
      <c r="N42" s="105">
        <f t="shared" si="7"/>
        <v>1.0850576666666667</v>
      </c>
      <c r="O42" s="101">
        <f t="shared" si="4"/>
        <v>1.07</v>
      </c>
      <c r="P42" s="124">
        <f t="shared" si="5"/>
        <v>1.161</v>
      </c>
      <c r="Q42" s="138">
        <v>3.478</v>
      </c>
      <c r="R42" s="126">
        <v>1</v>
      </c>
      <c r="S42" s="127">
        <f t="shared" si="10"/>
        <v>0.6038194444444445</v>
      </c>
      <c r="T42" s="105">
        <f t="shared" si="11"/>
        <v>0.5833333333333333</v>
      </c>
      <c r="U42" s="127">
        <v>0.625</v>
      </c>
      <c r="V42" s="127">
        <f t="shared" si="12"/>
        <v>1.8121527777777777</v>
      </c>
      <c r="W42" s="127">
        <f t="shared" si="9"/>
        <v>1.1804</v>
      </c>
      <c r="X42" s="128">
        <f t="shared" si="8"/>
        <v>1.1998</v>
      </c>
    </row>
    <row r="43" spans="4:24" ht="19.5">
      <c r="D43" s="136">
        <v>260</v>
      </c>
      <c r="E43" s="101">
        <v>3.7913</v>
      </c>
      <c r="F43" s="102">
        <v>25</v>
      </c>
      <c r="G43" s="102">
        <v>3</v>
      </c>
      <c r="H43" s="103">
        <f t="shared" si="0"/>
        <v>0</v>
      </c>
      <c r="I43" s="103">
        <f t="shared" si="1"/>
        <v>0</v>
      </c>
      <c r="J43" s="104">
        <f t="shared" si="2"/>
        <v>7</v>
      </c>
      <c r="K43" s="101">
        <f t="shared" si="6"/>
        <v>1.1666666666666667</v>
      </c>
      <c r="L43" s="101">
        <v>3.5</v>
      </c>
      <c r="M43" s="101">
        <f t="shared" si="3"/>
        <v>8.457966666666668</v>
      </c>
      <c r="N43" s="105">
        <f t="shared" si="7"/>
        <v>1.0845796666666667</v>
      </c>
      <c r="O43" s="101">
        <f t="shared" si="4"/>
        <v>1.07</v>
      </c>
      <c r="P43" s="124">
        <f t="shared" si="5"/>
        <v>1.1605</v>
      </c>
      <c r="Q43" s="125">
        <v>3.431</v>
      </c>
      <c r="R43" s="126">
        <v>1</v>
      </c>
      <c r="S43" s="127">
        <f t="shared" si="10"/>
        <v>0.5956597222222222</v>
      </c>
      <c r="T43" s="105">
        <f t="shared" si="11"/>
        <v>0.5833333333333333</v>
      </c>
      <c r="U43" s="127">
        <v>0.625</v>
      </c>
      <c r="V43" s="127">
        <f t="shared" si="12"/>
        <v>1.8039930555555554</v>
      </c>
      <c r="W43" s="127">
        <f t="shared" si="9"/>
        <v>1.1798</v>
      </c>
      <c r="X43" s="128">
        <f t="shared" si="8"/>
        <v>1.1991</v>
      </c>
    </row>
    <row r="44" spans="4:25" ht="19.5">
      <c r="D44" s="136">
        <v>270</v>
      </c>
      <c r="E44" s="101">
        <v>3.7567</v>
      </c>
      <c r="F44" s="102">
        <v>26</v>
      </c>
      <c r="G44" s="102">
        <v>3</v>
      </c>
      <c r="H44" s="103">
        <f t="shared" si="0"/>
        <v>0</v>
      </c>
      <c r="I44" s="103">
        <f t="shared" si="1"/>
        <v>0</v>
      </c>
      <c r="J44" s="104">
        <f t="shared" si="2"/>
        <v>7</v>
      </c>
      <c r="K44" s="101">
        <f t="shared" si="6"/>
        <v>1.1666666666666667</v>
      </c>
      <c r="L44" s="101">
        <v>3.5</v>
      </c>
      <c r="M44" s="101">
        <f t="shared" si="3"/>
        <v>8.423366666666666</v>
      </c>
      <c r="N44" s="105">
        <f t="shared" si="7"/>
        <v>1.0842336666666668</v>
      </c>
      <c r="O44" s="101">
        <f t="shared" si="4"/>
        <v>1.07</v>
      </c>
      <c r="P44" s="124">
        <f t="shared" si="5"/>
        <v>1.1601</v>
      </c>
      <c r="Q44" s="125">
        <v>3.3858</v>
      </c>
      <c r="R44" s="126">
        <v>1</v>
      </c>
      <c r="S44" s="127">
        <f t="shared" si="10"/>
        <v>0.611325</v>
      </c>
      <c r="T44" s="105">
        <f t="shared" si="11"/>
        <v>0.5833333333333333</v>
      </c>
      <c r="U44" s="127">
        <v>0.625</v>
      </c>
      <c r="V44" s="127">
        <f t="shared" si="12"/>
        <v>1.8196583333333334</v>
      </c>
      <c r="W44" s="127">
        <f t="shared" si="9"/>
        <v>1.1796</v>
      </c>
      <c r="X44" s="128">
        <f t="shared" si="8"/>
        <v>1.1991</v>
      </c>
      <c r="Y44" s="45"/>
    </row>
    <row r="45" spans="4:24" ht="19.5">
      <c r="D45" s="136">
        <v>280</v>
      </c>
      <c r="E45" s="101">
        <v>3.7139</v>
      </c>
      <c r="F45" s="102">
        <v>26</v>
      </c>
      <c r="G45" s="102">
        <v>3</v>
      </c>
      <c r="H45" s="103">
        <f t="shared" si="0"/>
        <v>0</v>
      </c>
      <c r="I45" s="103">
        <f t="shared" si="1"/>
        <v>0</v>
      </c>
      <c r="J45" s="104">
        <f t="shared" si="2"/>
        <v>7</v>
      </c>
      <c r="K45" s="101">
        <f t="shared" si="6"/>
        <v>1.1666666666666667</v>
      </c>
      <c r="L45" s="101">
        <v>3.5</v>
      </c>
      <c r="M45" s="101">
        <f t="shared" si="3"/>
        <v>8.380566666666667</v>
      </c>
      <c r="N45" s="105">
        <f t="shared" si="7"/>
        <v>1.0838056666666667</v>
      </c>
      <c r="O45" s="101">
        <f t="shared" si="4"/>
        <v>1.07</v>
      </c>
      <c r="P45" s="124">
        <f t="shared" si="5"/>
        <v>1.1597</v>
      </c>
      <c r="Q45" s="125">
        <v>3.3434</v>
      </c>
      <c r="R45" s="126">
        <v>1</v>
      </c>
      <c r="S45" s="127">
        <f t="shared" si="10"/>
        <v>0.6036694444444444</v>
      </c>
      <c r="T45" s="105">
        <f t="shared" si="11"/>
        <v>0.5833333333333333</v>
      </c>
      <c r="U45" s="127">
        <v>0.625</v>
      </c>
      <c r="V45" s="127">
        <f t="shared" si="12"/>
        <v>1.8120027777777776</v>
      </c>
      <c r="W45" s="127">
        <f t="shared" si="9"/>
        <v>1.1791</v>
      </c>
      <c r="X45" s="128">
        <f t="shared" si="8"/>
        <v>1.1984</v>
      </c>
    </row>
    <row r="46" spans="4:24" ht="19.5">
      <c r="D46" s="136">
        <v>290</v>
      </c>
      <c r="E46" s="101">
        <v>3.6734</v>
      </c>
      <c r="F46" s="102">
        <v>26</v>
      </c>
      <c r="G46" s="102">
        <v>3</v>
      </c>
      <c r="H46" s="103">
        <f t="shared" si="0"/>
        <v>0</v>
      </c>
      <c r="I46" s="103">
        <f t="shared" si="1"/>
        <v>0</v>
      </c>
      <c r="J46" s="104">
        <f t="shared" si="2"/>
        <v>7</v>
      </c>
      <c r="K46" s="101">
        <f t="shared" si="6"/>
        <v>1.1666666666666667</v>
      </c>
      <c r="L46" s="101">
        <v>3.5</v>
      </c>
      <c r="M46" s="101">
        <f t="shared" si="3"/>
        <v>8.340066666666667</v>
      </c>
      <c r="N46" s="105">
        <f t="shared" si="7"/>
        <v>1.0834006666666667</v>
      </c>
      <c r="O46" s="101">
        <f t="shared" si="4"/>
        <v>1.07</v>
      </c>
      <c r="P46" s="124">
        <f t="shared" si="5"/>
        <v>1.1592</v>
      </c>
      <c r="Q46" s="125">
        <v>3.3024</v>
      </c>
      <c r="R46" s="126">
        <v>1</v>
      </c>
      <c r="S46" s="127">
        <f t="shared" si="10"/>
        <v>0.5962666666666666</v>
      </c>
      <c r="T46" s="105">
        <f t="shared" si="11"/>
        <v>0.5833333333333333</v>
      </c>
      <c r="U46" s="127">
        <v>0.625</v>
      </c>
      <c r="V46" s="127">
        <f t="shared" si="12"/>
        <v>1.8045999999999998</v>
      </c>
      <c r="W46" s="127">
        <f t="shared" si="9"/>
        <v>1.1785</v>
      </c>
      <c r="X46" s="128">
        <f t="shared" si="8"/>
        <v>1.1979</v>
      </c>
    </row>
    <row r="47" spans="4:24" ht="19.5">
      <c r="D47" s="136">
        <v>300</v>
      </c>
      <c r="E47" s="101">
        <v>3.6348</v>
      </c>
      <c r="F47" s="102">
        <v>26</v>
      </c>
      <c r="G47" s="102">
        <v>3</v>
      </c>
      <c r="H47" s="103">
        <f t="shared" si="0"/>
        <v>0</v>
      </c>
      <c r="I47" s="103">
        <f t="shared" si="1"/>
        <v>0</v>
      </c>
      <c r="J47" s="104">
        <f t="shared" si="2"/>
        <v>7</v>
      </c>
      <c r="K47" s="101">
        <f t="shared" si="6"/>
        <v>1.1666666666666667</v>
      </c>
      <c r="L47" s="101">
        <v>3.5</v>
      </c>
      <c r="M47" s="101">
        <f t="shared" si="3"/>
        <v>8.301466666666666</v>
      </c>
      <c r="N47" s="105">
        <f t="shared" si="7"/>
        <v>1.0830146666666667</v>
      </c>
      <c r="O47" s="101">
        <f t="shared" si="4"/>
        <v>1.07</v>
      </c>
      <c r="P47" s="124">
        <f t="shared" si="5"/>
        <v>1.1588</v>
      </c>
      <c r="Q47" s="125">
        <v>3.2646</v>
      </c>
      <c r="R47" s="126">
        <v>1</v>
      </c>
      <c r="S47" s="127">
        <f t="shared" si="10"/>
        <v>0.5894416666666668</v>
      </c>
      <c r="T47" s="105">
        <f t="shared" si="11"/>
        <v>0.5833333333333333</v>
      </c>
      <c r="U47" s="127">
        <v>0.625</v>
      </c>
      <c r="V47" s="127">
        <f t="shared" si="12"/>
        <v>1.7977750000000001</v>
      </c>
      <c r="W47" s="127">
        <f t="shared" si="9"/>
        <v>1.1781</v>
      </c>
      <c r="X47" s="128">
        <f t="shared" si="8"/>
        <v>1.1973</v>
      </c>
    </row>
    <row r="48" spans="4:24" ht="19.5">
      <c r="D48" s="136">
        <v>350</v>
      </c>
      <c r="E48" s="101">
        <v>3.4878</v>
      </c>
      <c r="F48" s="102">
        <v>28</v>
      </c>
      <c r="G48" s="102">
        <v>3</v>
      </c>
      <c r="H48" s="103">
        <f t="shared" si="0"/>
        <v>0</v>
      </c>
      <c r="I48" s="103">
        <f t="shared" si="1"/>
        <v>0</v>
      </c>
      <c r="J48" s="104">
        <f t="shared" si="2"/>
        <v>7</v>
      </c>
      <c r="K48" s="101">
        <f t="shared" si="6"/>
        <v>1.1666666666666667</v>
      </c>
      <c r="L48" s="101">
        <v>3.5</v>
      </c>
      <c r="M48" s="101">
        <f t="shared" si="3"/>
        <v>8.154466666666668</v>
      </c>
      <c r="N48" s="105">
        <f t="shared" si="7"/>
        <v>1.0815446666666666</v>
      </c>
      <c r="O48" s="101">
        <f t="shared" si="4"/>
        <v>1.07</v>
      </c>
      <c r="P48" s="124">
        <f t="shared" si="5"/>
        <v>1.1573</v>
      </c>
      <c r="Q48" s="125">
        <v>3.0945</v>
      </c>
      <c r="R48" s="126">
        <v>1</v>
      </c>
      <c r="S48" s="127">
        <f t="shared" si="10"/>
        <v>0.6017083333333333</v>
      </c>
      <c r="T48" s="105">
        <f t="shared" si="11"/>
        <v>0.5833333333333333</v>
      </c>
      <c r="U48" s="127">
        <v>0.625</v>
      </c>
      <c r="V48" s="127">
        <f t="shared" si="12"/>
        <v>1.8100416666666665</v>
      </c>
      <c r="W48" s="127">
        <f t="shared" si="9"/>
        <v>1.1766</v>
      </c>
      <c r="X48" s="128">
        <f t="shared" si="8"/>
        <v>1.196</v>
      </c>
    </row>
    <row r="49" spans="4:24" ht="19.5">
      <c r="D49" s="136">
        <v>400</v>
      </c>
      <c r="E49" s="101">
        <v>3.3621</v>
      </c>
      <c r="F49" s="102">
        <v>29</v>
      </c>
      <c r="G49" s="102">
        <v>3</v>
      </c>
      <c r="H49" s="103">
        <f t="shared" si="0"/>
        <v>0</v>
      </c>
      <c r="I49" s="103">
        <f t="shared" si="1"/>
        <v>0</v>
      </c>
      <c r="J49" s="104">
        <f t="shared" si="2"/>
        <v>7</v>
      </c>
      <c r="K49" s="101">
        <f t="shared" si="6"/>
        <v>1.1666666666666667</v>
      </c>
      <c r="L49" s="101">
        <v>3.5</v>
      </c>
      <c r="M49" s="101">
        <f t="shared" si="3"/>
        <v>8.028766666666666</v>
      </c>
      <c r="N49" s="105">
        <f t="shared" si="7"/>
        <v>1.0802876666666668</v>
      </c>
      <c r="O49" s="101">
        <f t="shared" si="4"/>
        <v>1.07</v>
      </c>
      <c r="P49" s="124">
        <f t="shared" si="5"/>
        <v>1.1559</v>
      </c>
      <c r="Q49" s="125">
        <v>2.959</v>
      </c>
      <c r="R49" s="126">
        <v>1</v>
      </c>
      <c r="S49" s="127">
        <f t="shared" si="10"/>
        <v>0.5959097222222222</v>
      </c>
      <c r="T49" s="105">
        <f t="shared" si="11"/>
        <v>0.5833333333333333</v>
      </c>
      <c r="U49" s="127">
        <v>0.625</v>
      </c>
      <c r="V49" s="127">
        <f t="shared" si="12"/>
        <v>1.8042430555555553</v>
      </c>
      <c r="W49" s="127">
        <f t="shared" si="9"/>
        <v>1.1752</v>
      </c>
      <c r="X49" s="128">
        <f t="shared" si="8"/>
        <v>1.1945</v>
      </c>
    </row>
    <row r="50" spans="4:24" ht="19.5">
      <c r="D50" s="136">
        <v>450</v>
      </c>
      <c r="E50" s="101">
        <v>3.2593</v>
      </c>
      <c r="F50" s="102">
        <v>30</v>
      </c>
      <c r="G50" s="102">
        <v>3</v>
      </c>
      <c r="H50" s="103">
        <f t="shared" si="0"/>
        <v>0</v>
      </c>
      <c r="I50" s="103">
        <f t="shared" si="1"/>
        <v>0</v>
      </c>
      <c r="J50" s="104">
        <f t="shared" si="2"/>
        <v>7</v>
      </c>
      <c r="K50" s="101">
        <f t="shared" si="6"/>
        <v>1.1666666666666667</v>
      </c>
      <c r="L50" s="101">
        <v>3.5</v>
      </c>
      <c r="M50" s="101">
        <f t="shared" si="3"/>
        <v>7.925966666666667</v>
      </c>
      <c r="N50" s="105">
        <f t="shared" si="7"/>
        <v>1.0792596666666667</v>
      </c>
      <c r="O50" s="101">
        <f t="shared" si="4"/>
        <v>1.07</v>
      </c>
      <c r="P50" s="124">
        <f t="shared" si="5"/>
        <v>1.1548</v>
      </c>
      <c r="Q50" s="125">
        <v>2.85</v>
      </c>
      <c r="R50" s="126">
        <v>1</v>
      </c>
      <c r="S50" s="127">
        <f t="shared" si="10"/>
        <v>0.59375</v>
      </c>
      <c r="T50" s="105">
        <f t="shared" si="11"/>
        <v>0.5833333333333333</v>
      </c>
      <c r="U50" s="127">
        <v>0.625</v>
      </c>
      <c r="V50" s="127">
        <f t="shared" si="12"/>
        <v>1.8020833333333333</v>
      </c>
      <c r="W50" s="127">
        <f t="shared" si="9"/>
        <v>1.1741</v>
      </c>
      <c r="X50" s="128">
        <f t="shared" si="8"/>
        <v>1.1934</v>
      </c>
    </row>
    <row r="51" spans="4:24" ht="19.5">
      <c r="D51" s="136">
        <v>500</v>
      </c>
      <c r="E51" s="101">
        <v>3.1735</v>
      </c>
      <c r="F51" s="102">
        <v>31</v>
      </c>
      <c r="G51" s="102">
        <v>3</v>
      </c>
      <c r="H51" s="103">
        <f t="shared" si="0"/>
        <v>0</v>
      </c>
      <c r="I51" s="103">
        <f t="shared" si="1"/>
        <v>0</v>
      </c>
      <c r="J51" s="104">
        <f t="shared" si="2"/>
        <v>7</v>
      </c>
      <c r="K51" s="101">
        <f t="shared" si="6"/>
        <v>1.1666666666666667</v>
      </c>
      <c r="L51" s="101">
        <v>3.5</v>
      </c>
      <c r="M51" s="101">
        <f t="shared" si="3"/>
        <v>7.840166666666667</v>
      </c>
      <c r="N51" s="105">
        <f t="shared" si="7"/>
        <v>1.0784016666666667</v>
      </c>
      <c r="O51" s="101">
        <f t="shared" si="4"/>
        <v>1.07</v>
      </c>
      <c r="P51" s="124">
        <f t="shared" si="5"/>
        <v>1.1539</v>
      </c>
      <c r="Q51" s="125">
        <v>2.75</v>
      </c>
      <c r="R51" s="126">
        <v>1</v>
      </c>
      <c r="S51" s="127">
        <f t="shared" si="10"/>
        <v>0.5920138888888888</v>
      </c>
      <c r="T51" s="105">
        <f t="shared" si="11"/>
        <v>0.5833333333333333</v>
      </c>
      <c r="U51" s="127">
        <v>0.625</v>
      </c>
      <c r="V51" s="127">
        <f t="shared" si="12"/>
        <v>1.800347222222222</v>
      </c>
      <c r="W51" s="127">
        <f t="shared" si="9"/>
        <v>1.1732</v>
      </c>
      <c r="X51" s="128">
        <f t="shared" si="8"/>
        <v>1.1924</v>
      </c>
    </row>
    <row r="52" spans="4:24" ht="19.5">
      <c r="D52" s="136">
        <v>600</v>
      </c>
      <c r="E52" s="101">
        <v>3.0385</v>
      </c>
      <c r="F52" s="102">
        <v>33</v>
      </c>
      <c r="G52" s="102">
        <v>3</v>
      </c>
      <c r="H52" s="103">
        <f t="shared" si="0"/>
        <v>0</v>
      </c>
      <c r="I52" s="103">
        <f t="shared" si="1"/>
        <v>0</v>
      </c>
      <c r="J52" s="104">
        <f t="shared" si="2"/>
        <v>7</v>
      </c>
      <c r="K52" s="101">
        <f t="shared" si="6"/>
        <v>1.1666666666666667</v>
      </c>
      <c r="L52" s="101">
        <v>3.5</v>
      </c>
      <c r="M52" s="101">
        <f t="shared" si="3"/>
        <v>7.705166666666667</v>
      </c>
      <c r="N52" s="105">
        <f t="shared" si="7"/>
        <v>1.0770516666666667</v>
      </c>
      <c r="O52" s="101">
        <f t="shared" si="4"/>
        <v>1.07</v>
      </c>
      <c r="P52" s="124">
        <f t="shared" si="5"/>
        <v>1.1524</v>
      </c>
      <c r="Q52" s="125">
        <v>2.593</v>
      </c>
      <c r="R52" s="126">
        <v>1</v>
      </c>
      <c r="S52" s="127">
        <f t="shared" si="10"/>
        <v>0.5942291666666667</v>
      </c>
      <c r="T52" s="105">
        <f t="shared" si="11"/>
        <v>0.5833333333333333</v>
      </c>
      <c r="U52" s="127">
        <v>0.625</v>
      </c>
      <c r="V52" s="127">
        <f t="shared" si="12"/>
        <v>1.8025625</v>
      </c>
      <c r="W52" s="127">
        <f t="shared" si="9"/>
        <v>1.1717</v>
      </c>
      <c r="X52" s="128">
        <f t="shared" si="8"/>
        <v>1.191</v>
      </c>
    </row>
    <row r="53" spans="4:24" ht="19.5">
      <c r="D53" s="136">
        <v>700</v>
      </c>
      <c r="E53" s="101">
        <v>2.9375</v>
      </c>
      <c r="F53" s="102">
        <v>35</v>
      </c>
      <c r="G53" s="102">
        <v>3</v>
      </c>
      <c r="H53" s="103">
        <f t="shared" si="0"/>
        <v>0</v>
      </c>
      <c r="I53" s="103">
        <f t="shared" si="1"/>
        <v>0</v>
      </c>
      <c r="J53" s="104">
        <f t="shared" si="2"/>
        <v>7</v>
      </c>
      <c r="K53" s="101">
        <f>(-1)*(J53/12)*((I53/100)+((F53+G53-1)*(H53/100))-(((H53+I53)/100)*((F53+1)/2))-(G53-1))</f>
        <v>1.1666666666666667</v>
      </c>
      <c r="L53" s="101">
        <v>3.5</v>
      </c>
      <c r="M53" s="101">
        <f>E53+K53+L53</f>
        <v>7.604166666666667</v>
      </c>
      <c r="N53" s="105">
        <f>1+(M53/100)</f>
        <v>1.0760416666666668</v>
      </c>
      <c r="O53" s="101">
        <f t="shared" si="4"/>
        <v>1.07</v>
      </c>
      <c r="P53" s="124">
        <f>ROUND(N53*O53,4)</f>
        <v>1.1514</v>
      </c>
      <c r="Q53" s="125">
        <v>-1.641</v>
      </c>
      <c r="R53" s="126">
        <v>1</v>
      </c>
      <c r="S53" s="127">
        <f>R53/12*Q53*F53/12</f>
        <v>-0.39885416666666657</v>
      </c>
      <c r="T53" s="105">
        <f>R53/12*J53</f>
        <v>0.5833333333333333</v>
      </c>
      <c r="U53" s="127">
        <v>1.625</v>
      </c>
      <c r="V53" s="127">
        <f>S53+T53+U53</f>
        <v>1.8094791666666667</v>
      </c>
      <c r="W53" s="127">
        <f>ROUND((N53+V53/100)*O53,4)</f>
        <v>1.1707</v>
      </c>
      <c r="X53" s="128">
        <f>ROUND((N53+2*(V53/100))*O53,4)</f>
        <v>1.1901</v>
      </c>
    </row>
    <row r="54" spans="4:24" ht="19.5">
      <c r="D54" s="136">
        <v>800</v>
      </c>
      <c r="E54" s="101">
        <v>2.8491</v>
      </c>
      <c r="F54" s="102">
        <v>36</v>
      </c>
      <c r="G54" s="102">
        <v>3</v>
      </c>
      <c r="H54" s="103">
        <f t="shared" si="0"/>
        <v>0</v>
      </c>
      <c r="I54" s="103">
        <f t="shared" si="1"/>
        <v>0</v>
      </c>
      <c r="J54" s="104">
        <f t="shared" si="2"/>
        <v>7</v>
      </c>
      <c r="K54" s="101">
        <f>(-1)*(J54/12)*((I54/100)+((F54+G54-1)*(H54/100))-(((H54+I54)/100)*((F54+1)/2))-(G54-1))</f>
        <v>1.1666666666666667</v>
      </c>
      <c r="L54" s="101">
        <v>3.5</v>
      </c>
      <c r="M54" s="101">
        <f>E54+K54+L54</f>
        <v>7.515766666666667</v>
      </c>
      <c r="N54" s="105">
        <f>1+(M54/100)</f>
        <v>1.0751576666666667</v>
      </c>
      <c r="O54" s="101">
        <f t="shared" si="4"/>
        <v>1.07</v>
      </c>
      <c r="P54" s="137">
        <f>ROUND(N54*O54,4)</f>
        <v>1.1504</v>
      </c>
      <c r="Q54" s="125">
        <v>-5.625</v>
      </c>
      <c r="R54" s="126">
        <v>1</v>
      </c>
      <c r="S54" s="127">
        <f>R54/12*Q54*F54/12</f>
        <v>-1.40625</v>
      </c>
      <c r="T54" s="105">
        <f>R54/12*J54</f>
        <v>0.5833333333333333</v>
      </c>
      <c r="U54" s="127">
        <v>2.625</v>
      </c>
      <c r="V54" s="127">
        <f>S54+T54+U54</f>
        <v>1.8020833333333333</v>
      </c>
      <c r="W54" s="127">
        <f>ROUND((N54+V54/100)*O54,4)</f>
        <v>1.1697</v>
      </c>
      <c r="X54" s="128">
        <f>ROUND((N54+2*(V54/100))*O54,4)</f>
        <v>1.189</v>
      </c>
    </row>
    <row r="55" spans="4:24" ht="19.5">
      <c r="D55" s="136">
        <v>900</v>
      </c>
      <c r="E55" s="101">
        <v>2.7877</v>
      </c>
      <c r="F55" s="102">
        <v>38</v>
      </c>
      <c r="G55" s="102">
        <v>3</v>
      </c>
      <c r="H55" s="103">
        <f t="shared" si="0"/>
        <v>0</v>
      </c>
      <c r="I55" s="103">
        <f t="shared" si="1"/>
        <v>0</v>
      </c>
      <c r="J55" s="104">
        <f t="shared" si="2"/>
        <v>7</v>
      </c>
      <c r="K55" s="101">
        <f>(-1)*(J55/12)*((I55/100)+((F55+G55-1)*(H55/100))-(((H55+I55)/100)*((F55+1)/2))-(G55-1))</f>
        <v>1.1666666666666667</v>
      </c>
      <c r="L55" s="101">
        <v>3.5</v>
      </c>
      <c r="M55" s="101">
        <f>E55+K55+L55</f>
        <v>7.454366666666667</v>
      </c>
      <c r="N55" s="105">
        <f>1+(M55/100)</f>
        <v>1.0745436666666666</v>
      </c>
      <c r="O55" s="101">
        <f t="shared" si="4"/>
        <v>1.07</v>
      </c>
      <c r="P55" s="124">
        <f>ROUND(N55*O55,4)</f>
        <v>1.1498</v>
      </c>
      <c r="Q55" s="125">
        <v>-9.076</v>
      </c>
      <c r="R55" s="126">
        <v>1</v>
      </c>
      <c r="S55" s="127">
        <f>R55/12*Q55*F55/12</f>
        <v>-2.3950555555555555</v>
      </c>
      <c r="T55" s="105">
        <f>R55/12*J55</f>
        <v>0.5833333333333333</v>
      </c>
      <c r="U55" s="127">
        <v>3.625</v>
      </c>
      <c r="V55" s="127">
        <f>S55+T55+U55</f>
        <v>1.8132777777777778</v>
      </c>
      <c r="W55" s="127">
        <f>ROUND((N55+V55/100)*O55,4)</f>
        <v>1.1692</v>
      </c>
      <c r="X55" s="128">
        <f>ROUND((N55+2*(V55/100))*O55,4)</f>
        <v>1.1886</v>
      </c>
    </row>
    <row r="56" spans="4:24" ht="19.5">
      <c r="D56" s="139">
        <v>1000</v>
      </c>
      <c r="E56" s="101">
        <v>2.7387</v>
      </c>
      <c r="F56" s="102">
        <v>40</v>
      </c>
      <c r="G56" s="102">
        <v>3</v>
      </c>
      <c r="H56" s="103">
        <f t="shared" si="0"/>
        <v>0</v>
      </c>
      <c r="I56" s="103">
        <f t="shared" si="1"/>
        <v>0</v>
      </c>
      <c r="J56" s="104">
        <f t="shared" si="2"/>
        <v>7</v>
      </c>
      <c r="K56" s="101">
        <f>(-1)*(J56/12)*((I56/100)+((F56+G56-1)*(H56/100))-(((H56+I56)/100)*((F56+1)/2))-(G56-1))</f>
        <v>1.1666666666666667</v>
      </c>
      <c r="L56" s="101">
        <v>3.5</v>
      </c>
      <c r="M56" s="101">
        <f>E56+K56+L56</f>
        <v>7.405366666666667</v>
      </c>
      <c r="N56" s="105">
        <f>1+(M56/100)</f>
        <v>1.0740536666666667</v>
      </c>
      <c r="O56" s="101">
        <f t="shared" si="4"/>
        <v>1.07</v>
      </c>
      <c r="P56" s="124">
        <f>ROUND(N56*O56,4)</f>
        <v>1.1492</v>
      </c>
      <c r="Q56" s="125">
        <v>-12.178</v>
      </c>
      <c r="R56" s="126">
        <v>1</v>
      </c>
      <c r="S56" s="127">
        <f>R56/12*Q56*F56/12</f>
        <v>-3.3827777777777777</v>
      </c>
      <c r="T56" s="105">
        <f>R56/12*J56</f>
        <v>0.5833333333333333</v>
      </c>
      <c r="U56" s="127">
        <v>4.625</v>
      </c>
      <c r="V56" s="127">
        <f>S56+T56+U56</f>
        <v>1.8255555555555558</v>
      </c>
      <c r="W56" s="127">
        <f>ROUND((N56+V56/100)*O56,4)</f>
        <v>1.1688</v>
      </c>
      <c r="X56" s="128">
        <f>ROUND((N56+2*(V56/100))*O56,4)</f>
        <v>1.1883</v>
      </c>
    </row>
    <row r="57" spans="4:24" ht="20.25" thickBot="1">
      <c r="D57" s="140" t="s">
        <v>100</v>
      </c>
      <c r="E57" s="108">
        <v>2.7387</v>
      </c>
      <c r="F57" s="109">
        <v>40</v>
      </c>
      <c r="G57" s="109">
        <v>3</v>
      </c>
      <c r="H57" s="110">
        <f t="shared" si="0"/>
        <v>0</v>
      </c>
      <c r="I57" s="110">
        <f t="shared" si="1"/>
        <v>0</v>
      </c>
      <c r="J57" s="111">
        <f t="shared" si="2"/>
        <v>7</v>
      </c>
      <c r="K57" s="108">
        <f>(-1)*(J57/12)*((I57/100)+((F57+G57-1)*(H57/100))-(((H57+I57)/100)*((F57+1)/2))-(G57-1))</f>
        <v>1.1666666666666667</v>
      </c>
      <c r="L57" s="108">
        <v>3.5</v>
      </c>
      <c r="M57" s="108">
        <f>E57+K57+L57</f>
        <v>7.405366666666667</v>
      </c>
      <c r="N57" s="112">
        <f>1+(M57/100)</f>
        <v>1.0740536666666667</v>
      </c>
      <c r="O57" s="108">
        <f t="shared" si="4"/>
        <v>1.07</v>
      </c>
      <c r="P57" s="129">
        <f>ROUND(N57*O57,4)</f>
        <v>1.1492</v>
      </c>
      <c r="Q57" s="130">
        <v>-15.778</v>
      </c>
      <c r="R57" s="131">
        <v>1</v>
      </c>
      <c r="S57" s="132">
        <f>R57/12*Q57*F57/12</f>
        <v>-4.382777777777778</v>
      </c>
      <c r="T57" s="112">
        <f>R57/12*J57</f>
        <v>0.5833333333333333</v>
      </c>
      <c r="U57" s="132">
        <v>5.625</v>
      </c>
      <c r="V57" s="132">
        <f>S57+T57+U57</f>
        <v>1.825555555555555</v>
      </c>
      <c r="W57" s="132">
        <f>ROUND((N57+V57/100)*O57,4)</f>
        <v>1.1688</v>
      </c>
      <c r="X57" s="133">
        <f>ROUND((N57+2*(V57/100))*O57,4)</f>
        <v>1.1883</v>
      </c>
    </row>
    <row r="58" spans="4:24" ht="19.5">
      <c r="D58" s="26" t="s">
        <v>146</v>
      </c>
      <c r="E58" s="27" t="s">
        <v>147</v>
      </c>
      <c r="F58" s="26"/>
      <c r="G58" s="26"/>
      <c r="H58" s="26"/>
      <c r="I58" s="26"/>
      <c r="J58" s="26"/>
      <c r="K58" s="27"/>
      <c r="L58" s="27"/>
      <c r="M58" s="27"/>
      <c r="N58" s="26"/>
      <c r="O58" s="26"/>
      <c r="P58" s="26"/>
      <c r="Q58" s="27"/>
      <c r="R58" s="27"/>
      <c r="S58" s="26"/>
      <c r="T58" s="26"/>
      <c r="U58" s="26"/>
      <c r="V58" s="26"/>
      <c r="W58" s="26"/>
      <c r="X58" s="26"/>
    </row>
    <row r="59" spans="4:24" ht="20.25">
      <c r="D59" s="26"/>
      <c r="E59" s="27" t="s">
        <v>148</v>
      </c>
      <c r="F59" s="26"/>
      <c r="G59" s="26"/>
      <c r="H59" s="26"/>
      <c r="I59" s="26"/>
      <c r="J59" s="26"/>
      <c r="K59" s="27"/>
      <c r="L59" s="27"/>
      <c r="M59" s="27"/>
      <c r="N59" s="26"/>
      <c r="O59" s="26"/>
      <c r="P59" s="26"/>
      <c r="Q59" s="27"/>
      <c r="R59" s="27"/>
      <c r="S59" s="26"/>
      <c r="T59" s="26"/>
      <c r="U59" s="26"/>
      <c r="V59" s="26"/>
      <c r="W59" s="26"/>
      <c r="X59" s="26"/>
    </row>
  </sheetData>
  <sheetProtection password="87BD" sheet="1" objects="1" scenarios="1" selectLockedCells="1"/>
  <mergeCells count="20">
    <mergeCell ref="D6:E6"/>
    <mergeCell ref="M6:N6"/>
    <mergeCell ref="P14:P15"/>
    <mergeCell ref="Q14:Q15"/>
    <mergeCell ref="R14:R15"/>
    <mergeCell ref="S14:S15"/>
    <mergeCell ref="D14:D15"/>
    <mergeCell ref="E14:M14"/>
    <mergeCell ref="N14:N15"/>
    <mergeCell ref="O14:O15"/>
    <mergeCell ref="K2:X2"/>
    <mergeCell ref="M4:N4"/>
    <mergeCell ref="P4:W4"/>
    <mergeCell ref="M5:N5"/>
    <mergeCell ref="T14:T15"/>
    <mergeCell ref="U14:U15"/>
    <mergeCell ref="W14:W15"/>
    <mergeCell ref="X14:X15"/>
    <mergeCell ref="D8:P8"/>
    <mergeCell ref="D9:X9"/>
  </mergeCells>
  <dataValidations count="6">
    <dataValidation type="list" allowBlank="1" showInputMessage="1" showErrorMessage="1" sqref="O12">
      <formula1>$AB$22:$AB$23</formula1>
    </dataValidation>
    <dataValidation type="list" allowBlank="1" showInputMessage="1" showErrorMessage="1" sqref="K12">
      <formula1>$Z$22:$Z$24</formula1>
    </dataValidation>
    <dataValidation type="decimal" operator="greaterThanOrEqual" allowBlank="1" showInputMessage="1" showErrorMessage="1" promptTitle="ค่างานต้นทุน" prompt="ใส่ค่างานต้นทุน (ค่าวัสดุ+ค่าแรง)&#10;ซึ่งยังไม่รวมค่า ภาษี กำไร ค่าดำเนินการ" errorTitle="ค่างานต้นทุน" sqref="M4">
      <formula1>0</formula1>
    </dataValidation>
    <dataValidation type="list" allowBlank="1" showInputMessage="1" showErrorMessage="1" sqref="K11">
      <formula1>$Z$22:$Z$25</formula1>
    </dataValidation>
    <dataValidation type="list" allowBlank="1" showInputMessage="1" showErrorMessage="1" sqref="O11">
      <formula1>$AA$23:$AA$25</formula1>
    </dataValidation>
    <dataValidation type="list" allowBlank="1" showInputMessage="1" showErrorMessage="1" promptTitle="พื้นที่ฝนชุก" prompt="เลือกจังหวัดที่ตั้งโครงการ ตามรายชื่อจังหวัดพื้นที่ฝนชุก  หากไม่มีในรายชื่อด้านล่าง ให้เลือกอื่นๆ ซึ่งหมายถึง พื้นที่ปกติ ไม่ใช่พื้นที่ฝนชุก&#10;" sqref="W5">
      <formula1>$AC$17:$AC$36</formula1>
    </dataValidation>
  </dataValidations>
  <hyperlinks>
    <hyperlink ref="D6" r:id="rId1" display="www.yotathai.net"/>
  </hyperlinks>
  <printOptions horizontalCentered="1" verticalCentered="1"/>
  <pageMargins left="0.5905511811023623" right="0.2755905511811024" top="0.2755905511811024" bottom="0.03937007874015748" header="0.2362204724409449" footer="0.2755905511811024"/>
  <pageSetup blackAndWhite="1" horizontalDpi="300" verticalDpi="300" orientation="portrait" paperSize="9" scale="80" r:id="rId3"/>
  <headerFooter>
    <oddFooter>&amp;Rwww.yotathai.net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แบบฟอร์มประมาณราคางานอาคาร + Factor F 2555</dc:title>
  <dc:subject/>
  <dc:creator>ต่อยอด และปรับปรุงโดย  นายศิวกร  พงษ์สิทธิศกดิ์</dc:creator>
  <cp:keywords/>
  <dc:description/>
  <cp:lastModifiedBy>16AQYE-QCQFG</cp:lastModifiedBy>
  <cp:lastPrinted>2016-01-09T06:57:47Z</cp:lastPrinted>
  <dcterms:created xsi:type="dcterms:W3CDTF">1996-10-14T23:33:28Z</dcterms:created>
  <dcterms:modified xsi:type="dcterms:W3CDTF">2017-09-06T09:07:07Z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